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400" tabRatio="606" activeTab="6"/>
  </bookViews>
  <sheets>
    <sheet name="Фін.план зведені показники" sheetId="1" r:id="rId1"/>
    <sheet name="Фін.результат" sheetId="2" r:id="rId2"/>
    <sheet name="Розрахунки з бюджетом" sheetId="3" r:id="rId3"/>
    <sheet name="рух грош.коштів" sheetId="4" r:id="rId4"/>
    <sheet name="Кап.інвестиції" sheetId="5" r:id="rId5"/>
    <sheet name="Коефіцієнти" sheetId="6" r:id="rId6"/>
    <sheet name="6.1" sheetId="7" r:id="rId7"/>
    <sheet name="6.2" sheetId="11" r:id="rId8"/>
  </sheets>
  <externalReferences>
    <externalReference r:id="rId9"/>
  </externalReferences>
  <calcPr calcId="162913"/>
</workbook>
</file>

<file path=xl/calcChain.xml><?xml version="1.0" encoding="utf-8"?>
<calcChain xmlns="http://schemas.openxmlformats.org/spreadsheetml/2006/main">
  <c r="AF30" i="11" l="1"/>
  <c r="AF31" i="11"/>
  <c r="AF32" i="11"/>
  <c r="AF33" i="11"/>
  <c r="AB30" i="11"/>
  <c r="AB31" i="11"/>
  <c r="AB32" i="11"/>
  <c r="AB33" i="11"/>
  <c r="X30" i="11"/>
  <c r="X31" i="11"/>
  <c r="X32" i="11"/>
  <c r="X33" i="11"/>
  <c r="X29" i="11"/>
  <c r="L13" i="7" l="1"/>
  <c r="J20" i="7"/>
  <c r="O56" i="7" l="1"/>
  <c r="O55" i="7"/>
  <c r="M57" i="7"/>
  <c r="N56" i="7"/>
  <c r="M56" i="7"/>
  <c r="N55" i="7"/>
  <c r="M55" i="7"/>
  <c r="E55" i="7"/>
  <c r="K55" i="7" s="1"/>
  <c r="L56" i="7"/>
  <c r="L55" i="7"/>
  <c r="K56" i="7"/>
  <c r="J56" i="7"/>
  <c r="J55" i="7"/>
  <c r="E56" i="7"/>
  <c r="H56" i="7"/>
  <c r="H55" i="7"/>
  <c r="D21" i="6" l="1"/>
  <c r="E21" i="6"/>
  <c r="G21" i="6" s="1"/>
  <c r="F85" i="1"/>
  <c r="F55" i="7" l="1"/>
  <c r="F42" i="3"/>
  <c r="F29" i="3"/>
  <c r="F38" i="3"/>
  <c r="F96" i="2"/>
  <c r="Z96" i="2"/>
  <c r="Z93" i="2"/>
  <c r="F93" i="2"/>
  <c r="F94" i="2"/>
  <c r="Z94" i="2"/>
  <c r="E94" i="2" l="1"/>
  <c r="Z95" i="2"/>
  <c r="Z92" i="2"/>
  <c r="Y92" i="2"/>
  <c r="Z91" i="2"/>
  <c r="Z80" i="2"/>
  <c r="Y80" i="2"/>
  <c r="Z79" i="2"/>
  <c r="Y79" i="2"/>
  <c r="Z78" i="2"/>
  <c r="Y78" i="2"/>
  <c r="G71" i="2"/>
  <c r="Z90" i="2" l="1"/>
  <c r="Z97" i="2" s="1"/>
  <c r="Z98" i="2"/>
  <c r="F80" i="2"/>
  <c r="F79" i="2"/>
  <c r="F78" i="2"/>
  <c r="F45" i="2"/>
  <c r="AA65" i="2"/>
  <c r="AA66" i="2"/>
  <c r="AA67" i="2"/>
  <c r="AA68" i="2"/>
  <c r="AA64" i="2"/>
  <c r="AA78" i="2" s="1"/>
  <c r="AA20" i="2"/>
  <c r="Z52" i="2"/>
  <c r="Z77" i="2" s="1"/>
  <c r="Y52" i="2"/>
  <c r="AA57" i="2"/>
  <c r="Y45" i="2"/>
  <c r="AA45" i="2" s="1"/>
  <c r="AA51" i="2"/>
  <c r="Z22" i="2"/>
  <c r="AA37" i="2"/>
  <c r="AA33" i="2"/>
  <c r="Y24" i="2"/>
  <c r="AA24" i="2" s="1"/>
  <c r="Y25" i="2"/>
  <c r="AA25" i="2" s="1"/>
  <c r="Y26" i="2"/>
  <c r="AA26" i="2" s="1"/>
  <c r="Y27" i="2"/>
  <c r="AA27" i="2" s="1"/>
  <c r="Y28" i="2"/>
  <c r="Y29" i="2"/>
  <c r="AA29" i="2" s="1"/>
  <c r="Y30" i="2"/>
  <c r="Y31" i="2"/>
  <c r="Y32" i="2"/>
  <c r="Y33" i="2"/>
  <c r="Y34" i="2"/>
  <c r="AA34" i="2" s="1"/>
  <c r="Y35" i="2"/>
  <c r="AA35" i="2" s="1"/>
  <c r="Y36" i="2"/>
  <c r="AA36" i="2" s="1"/>
  <c r="Y37" i="2"/>
  <c r="Y38" i="2"/>
  <c r="AA38" i="2" s="1"/>
  <c r="Y39" i="2"/>
  <c r="AA39" i="2" s="1"/>
  <c r="Y40" i="2"/>
  <c r="AA40" i="2" s="1"/>
  <c r="Y41" i="2"/>
  <c r="AA41" i="2" s="1"/>
  <c r="Y42" i="2"/>
  <c r="AA42" i="2" s="1"/>
  <c r="Y43" i="2"/>
  <c r="AA43" i="2" s="1"/>
  <c r="Y44" i="2"/>
  <c r="AA44" i="2" s="1"/>
  <c r="Y23" i="2"/>
  <c r="Y19" i="2"/>
  <c r="Z10" i="2"/>
  <c r="Z81" i="2" s="1"/>
  <c r="Y10" i="2"/>
  <c r="AA18" i="2"/>
  <c r="AA17" i="2"/>
  <c r="AA16" i="2"/>
  <c r="AA12" i="2"/>
  <c r="AA13" i="2"/>
  <c r="AA14" i="2"/>
  <c r="AA15" i="2"/>
  <c r="AA11" i="2"/>
  <c r="AA9" i="2"/>
  <c r="Y96" i="2" l="1"/>
  <c r="AA96" i="2" s="1"/>
  <c r="AA79" i="2"/>
  <c r="AA28" i="2"/>
  <c r="AA10" i="2"/>
  <c r="AA31" i="2"/>
  <c r="Y94" i="2"/>
  <c r="AA94" i="2" s="1"/>
  <c r="AA30" i="2"/>
  <c r="Y93" i="2"/>
  <c r="AA93" i="2" s="1"/>
  <c r="AA52" i="2"/>
  <c r="Y77" i="2"/>
  <c r="AA80" i="2"/>
  <c r="Z19" i="2"/>
  <c r="Z60" i="2" s="1"/>
  <c r="AA91" i="2"/>
  <c r="AA92" i="2"/>
  <c r="Y81" i="2"/>
  <c r="AA23" i="2"/>
  <c r="Y91" i="2"/>
  <c r="Y90" i="2" s="1"/>
  <c r="AA32" i="2"/>
  <c r="AA95" i="2" s="1"/>
  <c r="Y95" i="2"/>
  <c r="AA77" i="2"/>
  <c r="Y60" i="2"/>
  <c r="Y22" i="2"/>
  <c r="AA22" i="2" s="1"/>
  <c r="AC33" i="11"/>
  <c r="Z33" i="11"/>
  <c r="AA33" i="11"/>
  <c r="Y33" i="11"/>
  <c r="R33" i="11"/>
  <c r="S33" i="11"/>
  <c r="T33" i="11"/>
  <c r="U33" i="11"/>
  <c r="V33" i="11"/>
  <c r="N33" i="11"/>
  <c r="O33" i="11"/>
  <c r="P33" i="11"/>
  <c r="Q33" i="11"/>
  <c r="M33" i="11"/>
  <c r="AC29" i="11"/>
  <c r="D55" i="7"/>
  <c r="D56" i="7"/>
  <c r="H23" i="7"/>
  <c r="H20" i="7" s="1"/>
  <c r="H22" i="7"/>
  <c r="H21" i="7"/>
  <c r="E10" i="5"/>
  <c r="E69" i="4"/>
  <c r="E67" i="4"/>
  <c r="E9" i="4"/>
  <c r="E32" i="3"/>
  <c r="E33" i="3"/>
  <c r="E41" i="3"/>
  <c r="E40" i="3"/>
  <c r="E39" i="3"/>
  <c r="E25" i="3"/>
  <c r="E24" i="3"/>
  <c r="E22" i="3"/>
  <c r="E10" i="3"/>
  <c r="E9" i="3"/>
  <c r="E8" i="3"/>
  <c r="D9" i="2"/>
  <c r="AA81" i="2" l="1"/>
  <c r="AA19" i="2"/>
  <c r="AA60" i="2"/>
  <c r="AA83" i="2" s="1"/>
  <c r="Y83" i="2"/>
  <c r="Y69" i="2"/>
  <c r="Y98" i="2"/>
  <c r="Y97" i="2"/>
  <c r="AA97" i="2" s="1"/>
  <c r="AA90" i="2"/>
  <c r="AA98" i="2" s="1"/>
  <c r="Z83" i="2"/>
  <c r="Z69" i="2"/>
  <c r="Z72" i="2" s="1"/>
  <c r="D24" i="7"/>
  <c r="C91" i="1"/>
  <c r="C57" i="1"/>
  <c r="C21" i="3"/>
  <c r="Y72" i="2" l="1"/>
  <c r="AA69" i="2"/>
  <c r="AA72" i="2" s="1"/>
  <c r="E80" i="1"/>
  <c r="E69" i="1"/>
  <c r="H41" i="2"/>
  <c r="H33" i="7" l="1"/>
  <c r="F21" i="6" l="1"/>
  <c r="C74" i="1"/>
  <c r="C70" i="4"/>
  <c r="G69" i="4" l="1"/>
  <c r="H69" i="4"/>
  <c r="H67" i="4"/>
  <c r="H39" i="3"/>
  <c r="H40" i="3"/>
  <c r="H41" i="3"/>
  <c r="H24" i="3"/>
  <c r="H32" i="3"/>
  <c r="G30" i="3"/>
  <c r="G31" i="3"/>
  <c r="G32" i="3"/>
  <c r="G33" i="3"/>
  <c r="G34" i="3"/>
  <c r="G35" i="3"/>
  <c r="G36" i="3"/>
  <c r="G37" i="3"/>
  <c r="G39" i="3"/>
  <c r="G40" i="3"/>
  <c r="G41" i="3"/>
  <c r="G22" i="3"/>
  <c r="G23" i="3"/>
  <c r="G24" i="3"/>
  <c r="G25" i="3"/>
  <c r="G9" i="3"/>
  <c r="G10" i="3"/>
  <c r="G11" i="3"/>
  <c r="G12" i="3"/>
  <c r="G13" i="3"/>
  <c r="G14" i="3"/>
  <c r="G15" i="3"/>
  <c r="G16" i="3"/>
  <c r="G17" i="3"/>
  <c r="G18" i="3"/>
  <c r="G8" i="3"/>
  <c r="H65" i="2"/>
  <c r="H67" i="2"/>
  <c r="H70" i="2"/>
  <c r="H64" i="2"/>
  <c r="H11" i="2"/>
  <c r="H12" i="2"/>
  <c r="H13" i="2"/>
  <c r="H14" i="2"/>
  <c r="H15" i="2"/>
  <c r="H16" i="2"/>
  <c r="H17" i="2"/>
  <c r="H18" i="2"/>
  <c r="H20" i="2"/>
  <c r="H21" i="2"/>
  <c r="H23" i="2"/>
  <c r="H28" i="2"/>
  <c r="H29" i="2"/>
  <c r="H30" i="2"/>
  <c r="H31" i="2"/>
  <c r="H32" i="2"/>
  <c r="H34" i="2"/>
  <c r="H36" i="2"/>
  <c r="H9" i="2"/>
  <c r="G85" i="2"/>
  <c r="G86" i="2"/>
  <c r="G87" i="2"/>
  <c r="G11" i="2"/>
  <c r="G12" i="2"/>
  <c r="G13" i="2"/>
  <c r="G14" i="2"/>
  <c r="G15" i="2"/>
  <c r="G16" i="2"/>
  <c r="G17" i="2"/>
  <c r="G18" i="2"/>
  <c r="G20" i="2"/>
  <c r="G21" i="2"/>
  <c r="G23" i="2"/>
  <c r="G24" i="2"/>
  <c r="G25" i="2"/>
  <c r="G26" i="2"/>
  <c r="G27" i="2"/>
  <c r="G28" i="2"/>
  <c r="G29" i="2"/>
  <c r="G30" i="2"/>
  <c r="G31" i="2"/>
  <c r="G32" i="2"/>
  <c r="G33" i="2"/>
  <c r="G34" i="2"/>
  <c r="G35" i="2"/>
  <c r="G36" i="2"/>
  <c r="G37" i="2"/>
  <c r="G38" i="2"/>
  <c r="G39" i="2"/>
  <c r="G40" i="2"/>
  <c r="G41" i="2"/>
  <c r="G42" i="2"/>
  <c r="G43" i="2"/>
  <c r="G44" i="2"/>
  <c r="G46" i="2"/>
  <c r="G47" i="2"/>
  <c r="G48" i="2"/>
  <c r="G49" i="2"/>
  <c r="G50" i="2"/>
  <c r="G51" i="2"/>
  <c r="G53" i="2"/>
  <c r="G54" i="2"/>
  <c r="G55" i="2"/>
  <c r="G56" i="2"/>
  <c r="G57" i="2"/>
  <c r="G58" i="2"/>
  <c r="G59" i="2"/>
  <c r="G61" i="2"/>
  <c r="G62" i="2"/>
  <c r="G63" i="2"/>
  <c r="G64" i="2"/>
  <c r="G65" i="2"/>
  <c r="G66" i="2"/>
  <c r="G67" i="2"/>
  <c r="G68" i="2"/>
  <c r="G70" i="2"/>
  <c r="G75" i="2"/>
  <c r="G9" i="2"/>
  <c r="V93" i="2"/>
  <c r="V94" i="2"/>
  <c r="V96" i="2"/>
  <c r="U96" i="2"/>
  <c r="E96" i="2"/>
  <c r="E93" i="2"/>
  <c r="E19" i="4"/>
  <c r="E21" i="3"/>
  <c r="G21" i="3" s="1"/>
  <c r="J33" i="7"/>
  <c r="J26" i="7"/>
  <c r="J25" i="7"/>
  <c r="H96" i="2" l="1"/>
  <c r="H93" i="2"/>
  <c r="H21" i="3"/>
  <c r="G96" i="2"/>
  <c r="G93" i="2"/>
  <c r="U94" i="2"/>
  <c r="W94" i="2" s="1"/>
  <c r="X94" i="2" s="1"/>
  <c r="U93" i="2"/>
  <c r="V95" i="2"/>
  <c r="U95" i="2"/>
  <c r="W95" i="2" s="1"/>
  <c r="V92" i="2"/>
  <c r="W92" i="2" s="1"/>
  <c r="U92" i="2"/>
  <c r="V91" i="2"/>
  <c r="U91" i="2"/>
  <c r="U90" i="2" s="1"/>
  <c r="V90" i="2"/>
  <c r="V97" i="2" s="1"/>
  <c r="V80" i="2"/>
  <c r="U80" i="2"/>
  <c r="X21" i="2"/>
  <c r="V22" i="2"/>
  <c r="U22" i="2"/>
  <c r="V52" i="2"/>
  <c r="U52" i="2"/>
  <c r="V45" i="2"/>
  <c r="U45" i="2"/>
  <c r="W46" i="2"/>
  <c r="X46" i="2" s="1"/>
  <c r="W47" i="2"/>
  <c r="X47" i="2" s="1"/>
  <c r="W48" i="2"/>
  <c r="X48" i="2" s="1"/>
  <c r="W49" i="2"/>
  <c r="X49" i="2" s="1"/>
  <c r="W50" i="2"/>
  <c r="X50" i="2" s="1"/>
  <c r="W51" i="2"/>
  <c r="X51" i="2" s="1"/>
  <c r="W53" i="2"/>
  <c r="X53" i="2" s="1"/>
  <c r="W54" i="2"/>
  <c r="X54" i="2" s="1"/>
  <c r="W55" i="2"/>
  <c r="X55" i="2" s="1"/>
  <c r="W56" i="2"/>
  <c r="X56" i="2" s="1"/>
  <c r="W57" i="2"/>
  <c r="X57" i="2" s="1"/>
  <c r="W58" i="2"/>
  <c r="X58" i="2" s="1"/>
  <c r="W59" i="2"/>
  <c r="X59" i="2" s="1"/>
  <c r="W61" i="2"/>
  <c r="X61" i="2" s="1"/>
  <c r="W62" i="2"/>
  <c r="X62" i="2" s="1"/>
  <c r="W63" i="2"/>
  <c r="X63" i="2" s="1"/>
  <c r="W64" i="2"/>
  <c r="X64" i="2" s="1"/>
  <c r="W65" i="2"/>
  <c r="X65" i="2" s="1"/>
  <c r="W66" i="2"/>
  <c r="X66" i="2" s="1"/>
  <c r="W67" i="2"/>
  <c r="X67" i="2" s="1"/>
  <c r="W68" i="2"/>
  <c r="X68" i="2" s="1"/>
  <c r="W70" i="2"/>
  <c r="X70" i="2" s="1"/>
  <c r="W71" i="2"/>
  <c r="X71" i="2" s="1"/>
  <c r="W72" i="2"/>
  <c r="W73" i="2"/>
  <c r="W74" i="2"/>
  <c r="W75" i="2"/>
  <c r="X75" i="2" s="1"/>
  <c r="W76" i="2"/>
  <c r="X76" i="2" s="1"/>
  <c r="W77" i="2"/>
  <c r="W78" i="2"/>
  <c r="W79" i="2"/>
  <c r="W82" i="2"/>
  <c r="X82" i="2" s="1"/>
  <c r="W83" i="2"/>
  <c r="W84" i="2"/>
  <c r="W85" i="2"/>
  <c r="X85" i="2" s="1"/>
  <c r="W86" i="2"/>
  <c r="X86" i="2" s="1"/>
  <c r="W87" i="2"/>
  <c r="X87" i="2" s="1"/>
  <c r="W88" i="2"/>
  <c r="W89" i="2"/>
  <c r="X89" i="2" s="1"/>
  <c r="W44" i="2"/>
  <c r="X44" i="2" s="1"/>
  <c r="W39" i="2"/>
  <c r="X39" i="2" s="1"/>
  <c r="W40" i="2"/>
  <c r="X40" i="2" s="1"/>
  <c r="W41" i="2"/>
  <c r="X41" i="2" s="1"/>
  <c r="W42" i="2"/>
  <c r="X42" i="2" s="1"/>
  <c r="W43" i="2"/>
  <c r="X43" i="2" s="1"/>
  <c r="W38" i="2"/>
  <c r="X38" i="2" s="1"/>
  <c r="X35" i="2"/>
  <c r="W33" i="2"/>
  <c r="X33" i="2" s="1"/>
  <c r="W34" i="2"/>
  <c r="X34" i="2" s="1"/>
  <c r="W35" i="2"/>
  <c r="W36" i="2"/>
  <c r="X36" i="2" s="1"/>
  <c r="W37" i="2"/>
  <c r="X37" i="2" s="1"/>
  <c r="W32" i="2"/>
  <c r="X32" i="2" s="1"/>
  <c r="W24" i="2"/>
  <c r="X24" i="2" s="1"/>
  <c r="W25" i="2"/>
  <c r="X25" i="2" s="1"/>
  <c r="W26" i="2"/>
  <c r="X26" i="2" s="1"/>
  <c r="W27" i="2"/>
  <c r="X27" i="2" s="1"/>
  <c r="W28" i="2"/>
  <c r="X28" i="2" s="1"/>
  <c r="W29" i="2"/>
  <c r="X29" i="2" s="1"/>
  <c r="W30" i="2"/>
  <c r="X30" i="2" s="1"/>
  <c r="W31" i="2"/>
  <c r="X31" i="2" s="1"/>
  <c r="W23" i="2"/>
  <c r="W20" i="2"/>
  <c r="X20" i="2" s="1"/>
  <c r="V10" i="2"/>
  <c r="U10" i="2"/>
  <c r="U19" i="2" s="1"/>
  <c r="U60" i="2" s="1"/>
  <c r="U69" i="2" s="1"/>
  <c r="W18" i="2"/>
  <c r="X18" i="2" s="1"/>
  <c r="W17" i="2"/>
  <c r="W12" i="2"/>
  <c r="W13" i="2"/>
  <c r="X13" i="2" s="1"/>
  <c r="W14" i="2"/>
  <c r="W15" i="2"/>
  <c r="X15" i="2" s="1"/>
  <c r="W16" i="2"/>
  <c r="X16" i="2" s="1"/>
  <c r="X12" i="2"/>
  <c r="X14" i="2"/>
  <c r="X17" i="2"/>
  <c r="W11" i="2"/>
  <c r="W9" i="2"/>
  <c r="X9" i="2" s="1"/>
  <c r="W22" i="2" l="1"/>
  <c r="W90" i="2"/>
  <c r="W10" i="2"/>
  <c r="W19" i="2" s="1"/>
  <c r="V81" i="2"/>
  <c r="V19" i="2"/>
  <c r="V60" i="2" s="1"/>
  <c r="V69" i="2" s="1"/>
  <c r="X11" i="2"/>
  <c r="X10" i="2" s="1"/>
  <c r="X23" i="2"/>
  <c r="W45" i="2"/>
  <c r="U81" i="2"/>
  <c r="W91" i="2"/>
  <c r="W52" i="2"/>
  <c r="W80" i="2"/>
  <c r="U97" i="2"/>
  <c r="W97" i="2" s="1"/>
  <c r="W93" i="2"/>
  <c r="X93" i="2" s="1"/>
  <c r="W96" i="2"/>
  <c r="X96" i="2" s="1"/>
  <c r="W81" i="2"/>
  <c r="W69" i="2"/>
  <c r="C79" i="2"/>
  <c r="C55" i="1" s="1"/>
  <c r="C45" i="1"/>
  <c r="W60" i="2" l="1"/>
  <c r="C78" i="2"/>
  <c r="C54" i="1" s="1"/>
  <c r="X78" i="2"/>
  <c r="P45" i="2" l="1"/>
  <c r="O45" i="2"/>
  <c r="N9" i="11" l="1"/>
  <c r="D87" i="1" l="1"/>
  <c r="D89" i="1"/>
  <c r="D90" i="1"/>
  <c r="D91" i="1"/>
  <c r="D86" i="1"/>
  <c r="F88" i="1"/>
  <c r="D83" i="1"/>
  <c r="D84" i="1"/>
  <c r="D82" i="1"/>
  <c r="C85" i="1"/>
  <c r="D88" i="1" l="1"/>
  <c r="G88" i="1"/>
  <c r="D85" i="1"/>
  <c r="AE30" i="11"/>
  <c r="AE31" i="11"/>
  <c r="AE32" i="11"/>
  <c r="W30" i="11"/>
  <c r="W31" i="11"/>
  <c r="W32" i="11"/>
  <c r="AB29" i="11"/>
  <c r="F19" i="4" l="1"/>
  <c r="H9" i="3"/>
  <c r="F9" i="3"/>
  <c r="O96" i="2"/>
  <c r="O94" i="2"/>
  <c r="P93" i="2"/>
  <c r="O93" i="2"/>
  <c r="P92" i="2"/>
  <c r="P96" i="2"/>
  <c r="P95" i="2"/>
  <c r="O95" i="2"/>
  <c r="P94" i="2"/>
  <c r="O92" i="2"/>
  <c r="O90" i="2" s="1"/>
  <c r="P91" i="2"/>
  <c r="O80" i="2"/>
  <c r="P79" i="2"/>
  <c r="O79" i="2"/>
  <c r="P78" i="2"/>
  <c r="O78" i="2"/>
  <c r="P52" i="2"/>
  <c r="P77" i="2" s="1"/>
  <c r="O52" i="2"/>
  <c r="O77" i="2" s="1"/>
  <c r="Q94" i="2" l="1"/>
  <c r="Q92" i="2"/>
  <c r="Q95" i="2"/>
  <c r="Q93" i="2"/>
  <c r="Q96" i="2"/>
  <c r="P90" i="2"/>
  <c r="P97" i="2" s="1"/>
  <c r="O97" i="2"/>
  <c r="Q91" i="2"/>
  <c r="O23" i="2"/>
  <c r="O22" i="2" s="1"/>
  <c r="P22" i="2"/>
  <c r="P10" i="2"/>
  <c r="P81" i="2" s="1"/>
  <c r="O10" i="2"/>
  <c r="O19" i="2" s="1"/>
  <c r="Q11" i="2"/>
  <c r="R11" i="2" s="1"/>
  <c r="Q12" i="2"/>
  <c r="R12" i="2" s="1"/>
  <c r="Q13" i="2"/>
  <c r="R13" i="2" s="1"/>
  <c r="Q14" i="2"/>
  <c r="R14" i="2" s="1"/>
  <c r="Q15" i="2"/>
  <c r="R15" i="2" s="1"/>
  <c r="Q16" i="2"/>
  <c r="R16" i="2" s="1"/>
  <c r="Q17" i="2"/>
  <c r="R17" i="2" s="1"/>
  <c r="Q18" i="2"/>
  <c r="R18" i="2" s="1"/>
  <c r="Q20" i="2"/>
  <c r="R20" i="2" s="1"/>
  <c r="Q21" i="2"/>
  <c r="R21" i="2" s="1"/>
  <c r="Q24" i="2"/>
  <c r="R24" i="2" s="1"/>
  <c r="Q25" i="2"/>
  <c r="R25" i="2" s="1"/>
  <c r="Q26" i="2"/>
  <c r="R26" i="2" s="1"/>
  <c r="Q27" i="2"/>
  <c r="R27" i="2" s="1"/>
  <c r="Q28" i="2"/>
  <c r="R28" i="2" s="1"/>
  <c r="Q29" i="2"/>
  <c r="R29" i="2" s="1"/>
  <c r="Q30" i="2"/>
  <c r="R30" i="2" s="1"/>
  <c r="Q31" i="2"/>
  <c r="R31" i="2" s="1"/>
  <c r="Q32" i="2"/>
  <c r="R32" i="2" s="1"/>
  <c r="Q33" i="2"/>
  <c r="R33" i="2" s="1"/>
  <c r="Q34" i="2"/>
  <c r="R34" i="2" s="1"/>
  <c r="Q35" i="2"/>
  <c r="R35" i="2" s="1"/>
  <c r="Q36" i="2"/>
  <c r="R36" i="2" s="1"/>
  <c r="Q37" i="2"/>
  <c r="R37" i="2" s="1"/>
  <c r="Q38" i="2"/>
  <c r="R38" i="2" s="1"/>
  <c r="Q39" i="2"/>
  <c r="R39" i="2" s="1"/>
  <c r="Q40" i="2"/>
  <c r="R40" i="2" s="1"/>
  <c r="Q41" i="2"/>
  <c r="R41" i="2" s="1"/>
  <c r="Q42" i="2"/>
  <c r="R42" i="2" s="1"/>
  <c r="Q43" i="2"/>
  <c r="R43" i="2" s="1"/>
  <c r="Q44" i="2"/>
  <c r="R44" i="2" s="1"/>
  <c r="Q45" i="2"/>
  <c r="Q46" i="2"/>
  <c r="R46" i="2" s="1"/>
  <c r="Q47" i="2"/>
  <c r="R47" i="2" s="1"/>
  <c r="Q48" i="2"/>
  <c r="R48" i="2" s="1"/>
  <c r="Q49" i="2"/>
  <c r="R49" i="2" s="1"/>
  <c r="Q50" i="2"/>
  <c r="R50" i="2" s="1"/>
  <c r="Q51" i="2"/>
  <c r="R51" i="2" s="1"/>
  <c r="Q52" i="2"/>
  <c r="Q53" i="2"/>
  <c r="R53" i="2" s="1"/>
  <c r="Q54" i="2"/>
  <c r="R54" i="2" s="1"/>
  <c r="Q55" i="2"/>
  <c r="R55" i="2" s="1"/>
  <c r="Q56" i="2"/>
  <c r="R56" i="2" s="1"/>
  <c r="Q57" i="2"/>
  <c r="R57" i="2" s="1"/>
  <c r="Q58" i="2"/>
  <c r="R58" i="2" s="1"/>
  <c r="Q59" i="2"/>
  <c r="R59" i="2" s="1"/>
  <c r="Q61" i="2"/>
  <c r="R61" i="2" s="1"/>
  <c r="Q62" i="2"/>
  <c r="R62" i="2" s="1"/>
  <c r="Q63" i="2"/>
  <c r="R63" i="2" s="1"/>
  <c r="Q64" i="2"/>
  <c r="R64" i="2" s="1"/>
  <c r="Q65" i="2"/>
  <c r="R65" i="2" s="1"/>
  <c r="Q66" i="2"/>
  <c r="R66" i="2" s="1"/>
  <c r="Q67" i="2"/>
  <c r="R67" i="2" s="1"/>
  <c r="Q68" i="2"/>
  <c r="R68" i="2" s="1"/>
  <c r="Q70" i="2"/>
  <c r="Q71" i="2"/>
  <c r="Q72" i="2"/>
  <c r="Q73" i="2"/>
  <c r="Q74" i="2"/>
  <c r="Q75" i="2"/>
  <c r="Q76" i="2"/>
  <c r="Q77" i="2"/>
  <c r="Q78" i="2"/>
  <c r="Q79" i="2"/>
  <c r="Q82" i="2"/>
  <c r="Q83" i="2"/>
  <c r="Q84" i="2"/>
  <c r="Q85" i="2"/>
  <c r="Q86" i="2"/>
  <c r="Q87" i="2"/>
  <c r="Q88" i="2"/>
  <c r="Q89" i="2"/>
  <c r="P9" i="2"/>
  <c r="P80" i="2" s="1"/>
  <c r="Q80" i="2" s="1"/>
  <c r="X80" i="2"/>
  <c r="Q90" i="2" l="1"/>
  <c r="Q97" i="2"/>
  <c r="O60" i="2"/>
  <c r="Q9" i="2"/>
  <c r="R9" i="2" s="1"/>
  <c r="P19" i="2"/>
  <c r="P60" i="2" s="1"/>
  <c r="P69" i="2" s="1"/>
  <c r="Q10" i="2"/>
  <c r="O81" i="2"/>
  <c r="Q81" i="2" s="1"/>
  <c r="Q23" i="2"/>
  <c r="R23" i="2" s="1"/>
  <c r="Q22" i="2"/>
  <c r="D44" i="2"/>
  <c r="D51" i="2"/>
  <c r="Q19" i="2" l="1"/>
  <c r="O69" i="2"/>
  <c r="Q69" i="2" s="1"/>
  <c r="Q60" i="2"/>
  <c r="E8" i="5"/>
  <c r="E79" i="2"/>
  <c r="E78" i="2"/>
  <c r="E52" i="2"/>
  <c r="H79" i="2" l="1"/>
  <c r="G79" i="2"/>
  <c r="H78" i="2"/>
  <c r="G78" i="2"/>
  <c r="E77" i="2"/>
  <c r="E54" i="1"/>
  <c r="D39" i="3"/>
  <c r="D31" i="3"/>
  <c r="D32" i="3"/>
  <c r="D33" i="3"/>
  <c r="D34" i="3"/>
  <c r="D35" i="3"/>
  <c r="D36" i="3"/>
  <c r="D37" i="3"/>
  <c r="D30" i="3"/>
  <c r="D10" i="3"/>
  <c r="D11" i="3"/>
  <c r="D12" i="3"/>
  <c r="D13" i="3"/>
  <c r="D14" i="3"/>
  <c r="D15" i="3"/>
  <c r="D16" i="3"/>
  <c r="D17" i="3"/>
  <c r="D18" i="3"/>
  <c r="D9" i="3"/>
  <c r="D40" i="3"/>
  <c r="H94" i="2" l="1"/>
  <c r="G94" i="2"/>
  <c r="H83" i="1"/>
  <c r="H84" i="1"/>
  <c r="H87" i="1"/>
  <c r="H82" i="1"/>
  <c r="G83" i="1"/>
  <c r="G84" i="1"/>
  <c r="G86" i="1"/>
  <c r="G87" i="1"/>
  <c r="G89" i="1"/>
  <c r="G90" i="1"/>
  <c r="G82" i="1"/>
  <c r="G71" i="1"/>
  <c r="G72" i="1"/>
  <c r="G73" i="1"/>
  <c r="N14" i="7"/>
  <c r="N15" i="7"/>
  <c r="N16" i="7"/>
  <c r="N17" i="7"/>
  <c r="N18" i="7"/>
  <c r="N19" i="7"/>
  <c r="N21" i="7"/>
  <c r="N22" i="7"/>
  <c r="N23" i="7"/>
  <c r="N28" i="7"/>
  <c r="N29" i="7"/>
  <c r="N30" i="7"/>
  <c r="N31" i="7"/>
  <c r="N35" i="7"/>
  <c r="L14" i="7"/>
  <c r="L15" i="7"/>
  <c r="L16" i="7"/>
  <c r="L17" i="7"/>
  <c r="L18" i="7"/>
  <c r="L19" i="7"/>
  <c r="L21" i="7"/>
  <c r="L22" i="7"/>
  <c r="L23" i="7"/>
  <c r="L28" i="7"/>
  <c r="L29" i="7"/>
  <c r="L30" i="7"/>
  <c r="L31" i="7"/>
  <c r="L35" i="7"/>
  <c r="H32" i="7"/>
  <c r="N32" i="7" s="1"/>
  <c r="L32" i="7" l="1"/>
  <c r="F25" i="7"/>
  <c r="F64" i="1"/>
  <c r="D38" i="3"/>
  <c r="D79" i="2" l="1"/>
  <c r="D55" i="1" s="1"/>
  <c r="X79" i="2"/>
  <c r="L20" i="7"/>
  <c r="N20" i="7"/>
  <c r="F20" i="7"/>
  <c r="C84" i="2"/>
  <c r="R10" i="11" l="1"/>
  <c r="K52" i="2" l="1"/>
  <c r="K45" i="2"/>
  <c r="L96" i="2" l="1"/>
  <c r="K95" i="2"/>
  <c r="K94" i="2"/>
  <c r="L94" i="2"/>
  <c r="L93" i="2"/>
  <c r="K93" i="2"/>
  <c r="L92" i="2"/>
  <c r="K92" i="2"/>
  <c r="L91" i="2"/>
  <c r="K91" i="2"/>
  <c r="F92" i="2"/>
  <c r="X92" i="2" s="1"/>
  <c r="F91" i="2"/>
  <c r="L100" i="2"/>
  <c r="L102" i="2" s="1"/>
  <c r="L52" i="2"/>
  <c r="N28" i="2"/>
  <c r="L10" i="2"/>
  <c r="K10" i="2"/>
  <c r="M9" i="2"/>
  <c r="N9" i="2" s="1"/>
  <c r="X91" i="2" l="1"/>
  <c r="H91" i="2"/>
  <c r="G91" i="2"/>
  <c r="F90" i="2"/>
  <c r="X90" i="2" s="1"/>
  <c r="B34" i="7"/>
  <c r="B35" i="7"/>
  <c r="B33" i="7"/>
  <c r="E80" i="2" l="1"/>
  <c r="H80" i="2" l="1"/>
  <c r="G80" i="2"/>
  <c r="H13" i="7"/>
  <c r="F27" i="7"/>
  <c r="F26" i="7"/>
  <c r="E55" i="1" l="1"/>
  <c r="E45" i="1"/>
  <c r="L19" i="2" l="1"/>
  <c r="K19" i="2"/>
  <c r="M70" i="2"/>
  <c r="L65" i="2"/>
  <c r="M65" i="2" s="1"/>
  <c r="M36" i="2"/>
  <c r="M46" i="2"/>
  <c r="M47" i="2"/>
  <c r="M48" i="2"/>
  <c r="M49" i="2"/>
  <c r="M50" i="2"/>
  <c r="M53" i="2"/>
  <c r="M54" i="2"/>
  <c r="M55" i="2"/>
  <c r="M56" i="2"/>
  <c r="M58" i="2"/>
  <c r="M59" i="2"/>
  <c r="M61" i="2"/>
  <c r="M62" i="2"/>
  <c r="M63" i="2"/>
  <c r="M64" i="2"/>
  <c r="M66" i="2"/>
  <c r="M67" i="2"/>
  <c r="M68" i="2"/>
  <c r="M71" i="2"/>
  <c r="M72" i="2"/>
  <c r="M73" i="2"/>
  <c r="M74" i="2"/>
  <c r="M75" i="2"/>
  <c r="M76" i="2"/>
  <c r="M77" i="2"/>
  <c r="M78" i="2"/>
  <c r="M79" i="2"/>
  <c r="M83" i="2"/>
  <c r="M84" i="2"/>
  <c r="M85" i="2"/>
  <c r="M86" i="2"/>
  <c r="M87" i="2"/>
  <c r="M88" i="2"/>
  <c r="M89" i="2"/>
  <c r="M57" i="2"/>
  <c r="K20" i="2"/>
  <c r="K80" i="2" s="1"/>
  <c r="M51" i="2"/>
  <c r="M31" i="2"/>
  <c r="M32" i="2"/>
  <c r="K33" i="2"/>
  <c r="M33" i="2" s="1"/>
  <c r="K34" i="2"/>
  <c r="M34" i="2" s="1"/>
  <c r="K35" i="2"/>
  <c r="M35" i="2" s="1"/>
  <c r="M37" i="2"/>
  <c r="K38" i="2"/>
  <c r="M38" i="2" s="1"/>
  <c r="K39" i="2"/>
  <c r="M39" i="2" s="1"/>
  <c r="K40" i="2"/>
  <c r="M40" i="2" s="1"/>
  <c r="K41" i="2"/>
  <c r="K42" i="2"/>
  <c r="M42" i="2" s="1"/>
  <c r="K43" i="2"/>
  <c r="M43" i="2" s="1"/>
  <c r="M44" i="2"/>
  <c r="K28" i="2"/>
  <c r="K96" i="2" l="1"/>
  <c r="M41" i="2"/>
  <c r="L80" i="2"/>
  <c r="M80" i="2" s="1"/>
  <c r="F14" i="6" l="1"/>
  <c r="H10" i="5"/>
  <c r="G9" i="5"/>
  <c r="G10" i="5"/>
  <c r="G11" i="5"/>
  <c r="G12" i="5"/>
  <c r="G13" i="5"/>
  <c r="G67" i="4"/>
  <c r="H33" i="3"/>
  <c r="H25" i="3"/>
  <c r="H22" i="3"/>
  <c r="H10" i="3"/>
  <c r="H8" i="3"/>
  <c r="H57" i="2"/>
  <c r="H38" i="2"/>
  <c r="H40" i="2"/>
  <c r="H42" i="2"/>
  <c r="H44" i="2"/>
  <c r="H37" i="2"/>
  <c r="N44" i="2" l="1"/>
  <c r="N50" i="2"/>
  <c r="N61" i="2"/>
  <c r="N66" i="2"/>
  <c r="N70" i="2"/>
  <c r="N71" i="2"/>
  <c r="N78" i="2"/>
  <c r="N86" i="2"/>
  <c r="L95" i="2"/>
  <c r="K22" i="2"/>
  <c r="K60" i="2" s="1"/>
  <c r="K69" i="2" s="1"/>
  <c r="N31" i="2"/>
  <c r="M30" i="2"/>
  <c r="N30" i="2" s="1"/>
  <c r="M23" i="2"/>
  <c r="N23" i="2" s="1"/>
  <c r="M11" i="2"/>
  <c r="N11" i="2" s="1"/>
  <c r="M12" i="2"/>
  <c r="M13" i="2"/>
  <c r="N13" i="2" s="1"/>
  <c r="M14" i="2"/>
  <c r="N14" i="2" s="1"/>
  <c r="M15" i="2"/>
  <c r="N15" i="2" s="1"/>
  <c r="M16" i="2"/>
  <c r="N16" i="2" s="1"/>
  <c r="M17" i="2"/>
  <c r="N17" i="2" s="1"/>
  <c r="M18" i="2"/>
  <c r="N18" i="2" s="1"/>
  <c r="M20" i="2"/>
  <c r="N20" i="2" s="1"/>
  <c r="M21" i="2"/>
  <c r="N21" i="2" s="1"/>
  <c r="M24" i="2"/>
  <c r="N24" i="2" s="1"/>
  <c r="M25" i="2"/>
  <c r="N25" i="2" s="1"/>
  <c r="M26" i="2"/>
  <c r="N26" i="2" s="1"/>
  <c r="M27" i="2"/>
  <c r="N27" i="2" s="1"/>
  <c r="M29" i="2"/>
  <c r="N29" i="2" s="1"/>
  <c r="N32" i="2"/>
  <c r="N33" i="2"/>
  <c r="N34" i="2"/>
  <c r="N35" i="2"/>
  <c r="N36" i="2"/>
  <c r="N37" i="2"/>
  <c r="N38" i="2"/>
  <c r="N39" i="2"/>
  <c r="N40" i="2"/>
  <c r="N41" i="2"/>
  <c r="N42" i="2"/>
  <c r="N43" i="2"/>
  <c r="N46" i="2"/>
  <c r="N47" i="2"/>
  <c r="N48" i="2"/>
  <c r="N51" i="2"/>
  <c r="N53" i="2"/>
  <c r="N54" i="2"/>
  <c r="N55" i="2"/>
  <c r="N56" i="2"/>
  <c r="N57" i="2"/>
  <c r="N58" i="2"/>
  <c r="N59" i="2"/>
  <c r="N62" i="2"/>
  <c r="N63" i="2"/>
  <c r="N64" i="2"/>
  <c r="N65" i="2"/>
  <c r="N67" i="2"/>
  <c r="N68" i="2"/>
  <c r="N75" i="2"/>
  <c r="N76" i="2"/>
  <c r="N85" i="2"/>
  <c r="N87" i="2"/>
  <c r="N89" i="2"/>
  <c r="M98" i="2"/>
  <c r="N12" i="2" l="1"/>
  <c r="N10" i="2" s="1"/>
  <c r="M10" i="2"/>
  <c r="M95" i="2"/>
  <c r="M94" i="2"/>
  <c r="M92" i="2"/>
  <c r="K90" i="2"/>
  <c r="M91" i="2"/>
  <c r="L90" i="2"/>
  <c r="L97" i="2" s="1"/>
  <c r="N79" i="2"/>
  <c r="N80" i="2"/>
  <c r="N49" i="2"/>
  <c r="M19" i="2"/>
  <c r="G68" i="4"/>
  <c r="G26" i="3"/>
  <c r="H58" i="2"/>
  <c r="H59" i="2"/>
  <c r="C86" i="2"/>
  <c r="C85" i="2"/>
  <c r="M90" i="2" l="1"/>
  <c r="F95" i="2" l="1"/>
  <c r="X95" i="2" s="1"/>
  <c r="F84" i="2" l="1"/>
  <c r="X84" i="2" s="1"/>
  <c r="H69" i="1"/>
  <c r="G69" i="1"/>
  <c r="N90" i="2"/>
  <c r="F97" i="2"/>
  <c r="X97" i="2" s="1"/>
  <c r="N95" i="2"/>
  <c r="N94" i="2"/>
  <c r="N91" i="2"/>
  <c r="M93" i="2"/>
  <c r="N92" i="2"/>
  <c r="N93" i="2" l="1"/>
  <c r="C88" i="1"/>
  <c r="C90" i="2"/>
  <c r="C97" i="2" s="1"/>
  <c r="C52" i="2"/>
  <c r="C45" i="2"/>
  <c r="C22" i="2"/>
  <c r="C10" i="2"/>
  <c r="C81" i="2" l="1"/>
  <c r="D16" i="6"/>
  <c r="C80" i="1" s="1"/>
  <c r="C19" i="2"/>
  <c r="C60" i="2" l="1"/>
  <c r="F16" i="6"/>
  <c r="D9" i="6"/>
  <c r="F9" i="6" s="1"/>
  <c r="G10" i="4"/>
  <c r="G11" i="4"/>
  <c r="G12" i="4"/>
  <c r="G13" i="4"/>
  <c r="G14" i="4"/>
  <c r="G15" i="4"/>
  <c r="G16" i="4"/>
  <c r="G17" i="4"/>
  <c r="G18" i="4"/>
  <c r="C83" i="2" l="1"/>
  <c r="C88" i="2" s="1"/>
  <c r="C69" i="2"/>
  <c r="D78" i="2"/>
  <c r="D54" i="1" s="1"/>
  <c r="C72" i="2" l="1"/>
  <c r="C9" i="4"/>
  <c r="D10" i="6"/>
  <c r="F10" i="6" s="1"/>
  <c r="C52" i="1"/>
  <c r="D15" i="6"/>
  <c r="F15" i="6" s="1"/>
  <c r="D13" i="6"/>
  <c r="C19" i="3"/>
  <c r="D12" i="6"/>
  <c r="F12" i="6" s="1"/>
  <c r="D11" i="6"/>
  <c r="C78" i="1" s="1"/>
  <c r="C73" i="2"/>
  <c r="D17" i="6"/>
  <c r="F17" i="6" s="1"/>
  <c r="C53" i="1" l="1"/>
  <c r="E70" i="4"/>
  <c r="E20" i="4" s="1"/>
  <c r="E22" i="2"/>
  <c r="E10" i="2"/>
  <c r="D45" i="1"/>
  <c r="F45" i="1" s="1"/>
  <c r="E19" i="2" l="1"/>
  <c r="G45" i="1"/>
  <c r="H45" i="1"/>
  <c r="H19" i="4"/>
  <c r="G19" i="4"/>
  <c r="E70" i="1" l="1"/>
  <c r="H27" i="7" l="1"/>
  <c r="H26" i="7"/>
  <c r="H25" i="7"/>
  <c r="J34" i="7"/>
  <c r="L34" i="7" l="1"/>
  <c r="N34" i="7"/>
  <c r="L33" i="7"/>
  <c r="N33" i="7"/>
  <c r="N27" i="7"/>
  <c r="L27" i="7"/>
  <c r="N26" i="7"/>
  <c r="L26" i="7"/>
  <c r="N25" i="7"/>
  <c r="L25" i="7"/>
  <c r="H24" i="7"/>
  <c r="AD10" i="11"/>
  <c r="B27" i="7" l="1"/>
  <c r="B26" i="7"/>
  <c r="B25" i="7"/>
  <c r="D20" i="7"/>
  <c r="C8" i="5"/>
  <c r="C76" i="1" s="1"/>
  <c r="E90" i="2" l="1"/>
  <c r="H90" i="2" s="1"/>
  <c r="H92" i="2"/>
  <c r="G92" i="2"/>
  <c r="G14" i="6"/>
  <c r="G22" i="6"/>
  <c r="G23" i="6"/>
  <c r="G90" i="2" l="1"/>
  <c r="AC34" i="11"/>
  <c r="AD32" i="11"/>
  <c r="AC32" i="11"/>
  <c r="S32" i="11"/>
  <c r="AD31" i="11"/>
  <c r="AC31" i="11"/>
  <c r="S31" i="11"/>
  <c r="AD30" i="11"/>
  <c r="AC30" i="11"/>
  <c r="S30" i="11"/>
  <c r="AD29" i="11"/>
  <c r="AD33" i="11" s="1"/>
  <c r="AA29" i="11"/>
  <c r="W29" i="11"/>
  <c r="W33" i="11" s="1"/>
  <c r="N8" i="11"/>
  <c r="AF29" i="11" l="1"/>
  <c r="M34" i="11"/>
  <c r="Y34" i="11"/>
  <c r="N10" i="11"/>
  <c r="AE29" i="11"/>
  <c r="AE33" i="11" s="1"/>
  <c r="Q34" i="11"/>
  <c r="F22" i="2" l="1"/>
  <c r="X22" i="2" l="1"/>
  <c r="G22" i="2"/>
  <c r="H22" i="2"/>
  <c r="R45" i="2"/>
  <c r="X45" i="2"/>
  <c r="R22" i="2"/>
  <c r="L45" i="2"/>
  <c r="L22" i="2"/>
  <c r="M45" i="2" l="1"/>
  <c r="N45" i="2" s="1"/>
  <c r="E76" i="1"/>
  <c r="M22" i="2"/>
  <c r="N22" i="2" s="1"/>
  <c r="B24" i="7"/>
  <c r="B20" i="7"/>
  <c r="J13" i="7" l="1"/>
  <c r="N13" i="7" l="1"/>
  <c r="F10" i="2"/>
  <c r="R10" i="2" l="1"/>
  <c r="H10" i="2"/>
  <c r="G10" i="2"/>
  <c r="F19" i="2"/>
  <c r="D10" i="2"/>
  <c r="D46" i="1" s="1"/>
  <c r="F46" i="1" s="1"/>
  <c r="E38" i="3"/>
  <c r="E95" i="2"/>
  <c r="E45" i="2"/>
  <c r="H19" i="2" l="1"/>
  <c r="G19" i="2"/>
  <c r="H38" i="3"/>
  <c r="G38" i="3"/>
  <c r="H45" i="2"/>
  <c r="G45" i="2"/>
  <c r="E81" i="2"/>
  <c r="E84" i="2"/>
  <c r="H95" i="2"/>
  <c r="G95" i="2"/>
  <c r="X19" i="2"/>
  <c r="R19" i="2"/>
  <c r="N19" i="2"/>
  <c r="G9" i="6"/>
  <c r="E29" i="3"/>
  <c r="G29" i="3" l="1"/>
  <c r="H29" i="3"/>
  <c r="G84" i="2"/>
  <c r="H84" i="2"/>
  <c r="E42" i="3"/>
  <c r="E65" i="1"/>
  <c r="D8" i="3"/>
  <c r="F52" i="2"/>
  <c r="F60" i="2" l="1"/>
  <c r="F83" i="2" s="1"/>
  <c r="F77" i="2"/>
  <c r="D77" i="2" s="1"/>
  <c r="X52" i="2"/>
  <c r="G52" i="2"/>
  <c r="H42" i="3"/>
  <c r="G42" i="3"/>
  <c r="F81" i="2"/>
  <c r="R52" i="2"/>
  <c r="F69" i="2"/>
  <c r="X69" i="2" s="1"/>
  <c r="E62" i="1"/>
  <c r="G62" i="1" s="1"/>
  <c r="B13" i="7"/>
  <c r="F24" i="7"/>
  <c r="X77" i="2" l="1"/>
  <c r="G77" i="2"/>
  <c r="H77" i="2"/>
  <c r="X81" i="2"/>
  <c r="H81" i="2"/>
  <c r="G81" i="2"/>
  <c r="X60" i="2"/>
  <c r="R60" i="2"/>
  <c r="N77" i="2"/>
  <c r="D57" i="7"/>
  <c r="G57" i="7"/>
  <c r="R69" i="2" l="1"/>
  <c r="F88" i="2"/>
  <c r="X83" i="2"/>
  <c r="F72" i="2"/>
  <c r="F19" i="3" s="1"/>
  <c r="F9" i="4"/>
  <c r="N83" i="2"/>
  <c r="X72" i="2" l="1"/>
  <c r="F74" i="2"/>
  <c r="H9" i="4"/>
  <c r="G9" i="4"/>
  <c r="X88" i="2"/>
  <c r="E10" i="6"/>
  <c r="E13" i="6"/>
  <c r="H52" i="2"/>
  <c r="N88" i="2"/>
  <c r="N84" i="2"/>
  <c r="D72" i="2"/>
  <c r="N72" i="2"/>
  <c r="E15" i="6"/>
  <c r="G15" i="6" s="1"/>
  <c r="J57" i="7"/>
  <c r="X74" i="2" l="1"/>
  <c r="G74" i="2"/>
  <c r="N74" i="2"/>
  <c r="X73" i="2"/>
  <c r="D58" i="1"/>
  <c r="N73" i="2"/>
  <c r="E47" i="1"/>
  <c r="E60" i="2"/>
  <c r="J24" i="7"/>
  <c r="E83" i="2" l="1"/>
  <c r="E69" i="2"/>
  <c r="E72" i="2" s="1"/>
  <c r="E79" i="1" s="1"/>
  <c r="H60" i="2"/>
  <c r="G60" i="2"/>
  <c r="L24" i="7"/>
  <c r="N24" i="7"/>
  <c r="D26" i="7"/>
  <c r="D25" i="7"/>
  <c r="F13" i="7"/>
  <c r="D13" i="7"/>
  <c r="G72" i="2" l="1"/>
  <c r="H72" i="2"/>
  <c r="E19" i="3"/>
  <c r="G19" i="3" s="1"/>
  <c r="G69" i="2"/>
  <c r="H69" i="2"/>
  <c r="G83" i="2"/>
  <c r="H83" i="2"/>
  <c r="E88" i="2"/>
  <c r="E56" i="1"/>
  <c r="H88" i="2" l="1"/>
  <c r="G88" i="2"/>
  <c r="E52" i="1"/>
  <c r="D71" i="2"/>
  <c r="D73" i="2"/>
  <c r="D74" i="2"/>
  <c r="D75" i="2"/>
  <c r="D67" i="2"/>
  <c r="D68" i="2"/>
  <c r="D61" i="2"/>
  <c r="D62" i="2"/>
  <c r="D63" i="2"/>
  <c r="D64" i="2"/>
  <c r="D65" i="2"/>
  <c r="E64" i="1" l="1"/>
  <c r="E66" i="1"/>
  <c r="E48" i="1"/>
  <c r="H64" i="1" l="1"/>
  <c r="G64" i="1"/>
  <c r="E53" i="1"/>
  <c r="E50" i="1"/>
  <c r="D20" i="6"/>
  <c r="C69" i="1"/>
  <c r="C19" i="4"/>
  <c r="C66" i="1"/>
  <c r="C64" i="1"/>
  <c r="C63" i="1"/>
  <c r="C62" i="1"/>
  <c r="C38" i="3"/>
  <c r="C49" i="1"/>
  <c r="C80" i="2"/>
  <c r="C48" i="1"/>
  <c r="F20" i="6" l="1"/>
  <c r="D19" i="6"/>
  <c r="F19" i="6" s="1"/>
  <c r="C29" i="3"/>
  <c r="C77" i="2"/>
  <c r="C50" i="1" s="1"/>
  <c r="C46" i="1"/>
  <c r="C47" i="1" s="1"/>
  <c r="C42" i="3" l="1"/>
  <c r="C67" i="1" s="1"/>
  <c r="C65" i="1"/>
  <c r="C56" i="1"/>
  <c r="C51" i="1"/>
  <c r="F65" i="1" l="1"/>
  <c r="H65" i="1" l="1"/>
  <c r="G65" i="1"/>
  <c r="E97" i="2"/>
  <c r="E57" i="1"/>
  <c r="G97" i="2" l="1"/>
  <c r="H97" i="2"/>
  <c r="E46" i="1"/>
  <c r="D93" i="2"/>
  <c r="H46" i="1" l="1"/>
  <c r="G46" i="1"/>
  <c r="E17" i="6"/>
  <c r="G17" i="6" s="1"/>
  <c r="D68" i="4"/>
  <c r="D69" i="4"/>
  <c r="D67" i="4"/>
  <c r="D69" i="1" s="1"/>
  <c r="D64" i="4" l="1"/>
  <c r="D63" i="4"/>
  <c r="D62" i="4"/>
  <c r="D61" i="4"/>
  <c r="D59" i="4"/>
  <c r="D58" i="4"/>
  <c r="D57" i="4"/>
  <c r="D55" i="4"/>
  <c r="D54" i="4"/>
  <c r="D52" i="4"/>
  <c r="D51" i="4"/>
  <c r="D46" i="4"/>
  <c r="D45" i="4"/>
  <c r="D44" i="4"/>
  <c r="D50" i="4"/>
  <c r="D49" i="4"/>
  <c r="D48" i="4"/>
  <c r="D37" i="4"/>
  <c r="D36" i="4"/>
  <c r="D35" i="4"/>
  <c r="D34" i="4"/>
  <c r="D33" i="4"/>
  <c r="D32" i="4"/>
  <c r="D29" i="4"/>
  <c r="D28" i="4"/>
  <c r="D27" i="4"/>
  <c r="D25" i="4"/>
  <c r="D24" i="4"/>
  <c r="D23" i="4"/>
  <c r="D18" i="4"/>
  <c r="D17" i="4"/>
  <c r="D16" i="4"/>
  <c r="D15" i="4"/>
  <c r="D14" i="4"/>
  <c r="D13" i="4"/>
  <c r="D12" i="4"/>
  <c r="D29" i="3"/>
  <c r="D65" i="1" s="1"/>
  <c r="D94" i="2" l="1"/>
  <c r="E73" i="2" l="1"/>
  <c r="E58" i="1"/>
  <c r="E78" i="1" s="1"/>
  <c r="D9" i="5"/>
  <c r="D10" i="5"/>
  <c r="D11" i="5"/>
  <c r="D13" i="5"/>
  <c r="D26" i="3"/>
  <c r="D27" i="3"/>
  <c r="D28" i="3"/>
  <c r="D41" i="3"/>
  <c r="D66" i="1" s="1"/>
  <c r="D22" i="3"/>
  <c r="D23" i="3"/>
  <c r="D24" i="3"/>
  <c r="D63" i="1" s="1"/>
  <c r="D25" i="3"/>
  <c r="D64" i="1" s="1"/>
  <c r="F21" i="3"/>
  <c r="D11" i="4"/>
  <c r="D19" i="4"/>
  <c r="D97" i="2"/>
  <c r="D95" i="2"/>
  <c r="D91" i="2"/>
  <c r="D92" i="2"/>
  <c r="D85" i="2"/>
  <c r="D86" i="2"/>
  <c r="D87" i="2"/>
  <c r="D70" i="2"/>
  <c r="D57" i="1" s="1"/>
  <c r="D66" i="2"/>
  <c r="D53" i="2"/>
  <c r="D54" i="2"/>
  <c r="D55" i="2"/>
  <c r="D56" i="2"/>
  <c r="D57" i="2"/>
  <c r="D58" i="2"/>
  <c r="D59" i="2"/>
  <c r="D46" i="2"/>
  <c r="D47" i="2"/>
  <c r="D48" i="2"/>
  <c r="D49" i="2"/>
  <c r="D50" i="2"/>
  <c r="D43" i="2"/>
  <c r="D34" i="2"/>
  <c r="D35" i="2"/>
  <c r="D36" i="2"/>
  <c r="D37" i="2"/>
  <c r="D38" i="2"/>
  <c r="D39" i="2"/>
  <c r="D40" i="2"/>
  <c r="D41" i="2"/>
  <c r="D42" i="2"/>
  <c r="D33" i="2"/>
  <c r="D32" i="2"/>
  <c r="D27" i="2"/>
  <c r="D28" i="2"/>
  <c r="D29" i="2"/>
  <c r="D30" i="2"/>
  <c r="D31" i="2"/>
  <c r="D21" i="2"/>
  <c r="D20" i="2"/>
  <c r="D23" i="2"/>
  <c r="D24" i="2"/>
  <c r="D25" i="2"/>
  <c r="D26" i="2"/>
  <c r="D19" i="2"/>
  <c r="E9" i="6" s="1"/>
  <c r="D11" i="2"/>
  <c r="D12" i="2"/>
  <c r="D13" i="2"/>
  <c r="D14" i="2"/>
  <c r="D15" i="2"/>
  <c r="D16" i="2"/>
  <c r="D17" i="2"/>
  <c r="D18" i="2"/>
  <c r="G73" i="2" l="1"/>
  <c r="H73" i="2"/>
  <c r="D84" i="2"/>
  <c r="D47" i="1"/>
  <c r="F47" i="1" s="1"/>
  <c r="E59" i="1"/>
  <c r="F62" i="1"/>
  <c r="D21" i="3"/>
  <c r="D62" i="1" s="1"/>
  <c r="D45" i="2"/>
  <c r="D49" i="1" s="1"/>
  <c r="F49" i="1" s="1"/>
  <c r="D52" i="2"/>
  <c r="D50" i="1"/>
  <c r="F50" i="1" s="1"/>
  <c r="D90" i="2"/>
  <c r="D96" i="2"/>
  <c r="H19" i="3" l="1"/>
  <c r="H62" i="1"/>
  <c r="G50" i="1"/>
  <c r="H50" i="1"/>
  <c r="H47" i="1"/>
  <c r="G47" i="1"/>
  <c r="F67" i="1"/>
  <c r="D42" i="3"/>
  <c r="D67" i="1" s="1"/>
  <c r="F7" i="6"/>
  <c r="G13" i="6" l="1"/>
  <c r="D59" i="1"/>
  <c r="D19" i="3"/>
  <c r="E74" i="1"/>
  <c r="D74" i="1"/>
  <c r="F69" i="1"/>
  <c r="E63" i="1"/>
  <c r="C58" i="1"/>
  <c r="C59" i="1" s="1"/>
  <c r="E88" i="1"/>
  <c r="E85" i="1"/>
  <c r="B80" i="1"/>
  <c r="B79" i="1"/>
  <c r="B78" i="1"/>
  <c r="B76" i="1"/>
  <c r="B74" i="1"/>
  <c r="B73" i="1"/>
  <c r="B72" i="1"/>
  <c r="B71" i="1"/>
  <c r="B70" i="1"/>
  <c r="B69" i="1"/>
  <c r="B67" i="1"/>
  <c r="B66" i="1"/>
  <c r="B65" i="1"/>
  <c r="B63" i="1"/>
  <c r="B62" i="1"/>
  <c r="B59" i="1"/>
  <c r="B58" i="1"/>
  <c r="B57" i="1"/>
  <c r="B56" i="1"/>
  <c r="B55" i="1"/>
  <c r="B54" i="1"/>
  <c r="B53" i="1"/>
  <c r="B52" i="1"/>
  <c r="B51" i="1"/>
  <c r="B50" i="1"/>
  <c r="B49" i="1"/>
  <c r="B48" i="1"/>
  <c r="B47" i="1"/>
  <c r="B46" i="1"/>
  <c r="B45" i="1"/>
  <c r="H88" i="1" l="1"/>
  <c r="G85" i="1"/>
  <c r="H85" i="1"/>
  <c r="E91" i="1"/>
  <c r="G63" i="1"/>
  <c r="E11" i="6"/>
  <c r="D78" i="1" s="1"/>
  <c r="F78" i="1" s="1"/>
  <c r="F66" i="1"/>
  <c r="F63" i="1"/>
  <c r="H63" i="1" s="1"/>
  <c r="H91" i="1" l="1"/>
  <c r="G91" i="1"/>
  <c r="G66" i="1"/>
  <c r="H66" i="1"/>
  <c r="E16" i="6"/>
  <c r="D80" i="1" s="1"/>
  <c r="E67" i="1"/>
  <c r="H67" i="1" l="1"/>
  <c r="G67" i="1"/>
  <c r="G16" i="6"/>
  <c r="F80" i="1"/>
  <c r="H80" i="1" s="1"/>
  <c r="F12" i="5"/>
  <c r="C20" i="4"/>
  <c r="C70" i="1" s="1"/>
  <c r="D80" i="2"/>
  <c r="G80" i="1" l="1"/>
  <c r="F8" i="5"/>
  <c r="D12" i="5"/>
  <c r="F70" i="4"/>
  <c r="F74" i="1"/>
  <c r="G8" i="5" l="1"/>
  <c r="H8" i="5"/>
  <c r="H74" i="1"/>
  <c r="G74" i="1"/>
  <c r="H70" i="4"/>
  <c r="G70" i="4"/>
  <c r="F76" i="1"/>
  <c r="D8" i="5"/>
  <c r="D76" i="1" s="1"/>
  <c r="D70" i="4"/>
  <c r="F20" i="4"/>
  <c r="E51" i="1"/>
  <c r="E49" i="1"/>
  <c r="H76" i="1" l="1"/>
  <c r="H49" i="1"/>
  <c r="G49" i="1"/>
  <c r="G20" i="4"/>
  <c r="H20" i="4"/>
  <c r="G76" i="1"/>
  <c r="E20" i="6"/>
  <c r="E19" i="6"/>
  <c r="G19" i="6" s="1"/>
  <c r="G20" i="6"/>
  <c r="D20" i="4"/>
  <c r="D70" i="1" s="1"/>
  <c r="C79" i="1"/>
  <c r="F70" i="1"/>
  <c r="G70" i="1" l="1"/>
  <c r="H70" i="1"/>
  <c r="F11" i="6"/>
  <c r="F13" i="6"/>
  <c r="D22" i="2"/>
  <c r="D48" i="1" s="1"/>
  <c r="F48" i="1" s="1"/>
  <c r="H48" i="1" l="1"/>
  <c r="G48" i="1"/>
  <c r="D60" i="2"/>
  <c r="D81" i="2"/>
  <c r="D83" i="2" l="1"/>
  <c r="D88" i="2" s="1"/>
  <c r="D51" i="1"/>
  <c r="F51" i="1" s="1"/>
  <c r="D69" i="2"/>
  <c r="D56" i="1" s="1"/>
  <c r="G51" i="1" l="1"/>
  <c r="H51" i="1"/>
  <c r="D52" i="1"/>
  <c r="F52" i="1" s="1"/>
  <c r="D53" i="1"/>
  <c r="F53" i="1" s="1"/>
  <c r="D9" i="4"/>
  <c r="G52" i="1" l="1"/>
  <c r="H52" i="1"/>
  <c r="G53" i="1"/>
  <c r="H53" i="1"/>
  <c r="E12" i="6"/>
  <c r="G10" i="6"/>
  <c r="D79" i="1" l="1"/>
  <c r="G12" i="6"/>
  <c r="F79" i="1"/>
  <c r="G11" i="6"/>
  <c r="H79" i="1" l="1"/>
  <c r="G79" i="1"/>
  <c r="H78" i="1"/>
  <c r="G78" i="1"/>
  <c r="K81" i="2"/>
  <c r="M52" i="2"/>
  <c r="N52" i="2" s="1"/>
  <c r="M96" i="2"/>
  <c r="N96" i="2" s="1"/>
  <c r="L81" i="2" l="1"/>
  <c r="M81" i="2" s="1"/>
  <c r="N81" i="2" s="1"/>
  <c r="M82" i="2"/>
  <c r="N82" i="2" s="1"/>
  <c r="L60" i="2"/>
  <c r="L69" i="2" s="1"/>
  <c r="M69" i="2" s="1"/>
  <c r="N69" i="2" s="1"/>
  <c r="K97" i="2"/>
  <c r="M97" i="2" s="1"/>
  <c r="M60" i="2" l="1"/>
  <c r="N60" i="2" s="1"/>
  <c r="F54" i="1" l="1"/>
  <c r="F55" i="1"/>
  <c r="F56" i="1"/>
  <c r="G54" i="1" l="1"/>
  <c r="H54" i="1"/>
  <c r="G55" i="1"/>
  <c r="H55" i="1"/>
  <c r="H56" i="1"/>
  <c r="G56" i="1"/>
  <c r="F57" i="1"/>
  <c r="H57" i="1" l="1"/>
  <c r="G57" i="1"/>
  <c r="F58" i="1"/>
  <c r="H58" i="1" l="1"/>
  <c r="G58" i="1"/>
  <c r="F59" i="1"/>
  <c r="H59" i="1" l="1"/>
  <c r="G59" i="1"/>
</calcChain>
</file>

<file path=xl/sharedStrings.xml><?xml version="1.0" encoding="utf-8"?>
<sst xmlns="http://schemas.openxmlformats.org/spreadsheetml/2006/main" count="681" uniqueCount="515">
  <si>
    <t>Продовження додатка 3</t>
  </si>
  <si>
    <t>Таблиця 1</t>
  </si>
  <si>
    <t>І. Формування фінансових результатів</t>
  </si>
  <si>
    <t xml:space="preserve"> </t>
  </si>
  <si>
    <t xml:space="preserve">Код рядка </t>
  </si>
  <si>
    <t>Факт наростаючим підсумком з початку року</t>
  </si>
  <si>
    <t>Звітний квартал</t>
  </si>
  <si>
    <t>відхилення,  +/–</t>
  </si>
  <si>
    <t>виконання, %</t>
  </si>
  <si>
    <t xml:space="preserve">пояснення та обґрунтування відхилення від запланованого рівня доходів/витрат                               </t>
  </si>
  <si>
    <t>Доходи і витрати (деталізація)</t>
  </si>
  <si>
    <t>Чистий дохід від реалізації продукції (товарів, робіт, послуг) (розшифрувати)</t>
  </si>
  <si>
    <t>Собівартість реалізованої продукції (товарів, робіт, послуг) (розшифрувати)</t>
  </si>
  <si>
    <t>витрати на сировину та основні матеріали</t>
  </si>
  <si>
    <t xml:space="preserve">витрати на паливо </t>
  </si>
  <si>
    <t>витрати на електроенергію</t>
  </si>
  <si>
    <t>витрати на оплату праці</t>
  </si>
  <si>
    <t>відрахування на соціальні заходи</t>
  </si>
  <si>
    <t>витрати, що здійснюються для підтримання об’єкта в робочому стані (проведення ремонту, технічного огляду, нагляду, обслуговування тощо)</t>
  </si>
  <si>
    <t>амортизація основних засобів і нематеріальних активів</t>
  </si>
  <si>
    <t>інші витрати (розшифрувати)</t>
  </si>
  <si>
    <t>Валовий прибуток (збиток)</t>
  </si>
  <si>
    <t>Інші операційні доходи (розшифрувати), у тому числі:</t>
  </si>
  <si>
    <t>курсові різниці</t>
  </si>
  <si>
    <t>Адміністративні витрати, у тому числі:</t>
  </si>
  <si>
    <t>витрати, пов'язані з використанням власних службових автомобілів</t>
  </si>
  <si>
    <t>витрати на оренду службових автомобілів</t>
  </si>
  <si>
    <t>витрати на консалтингові послуги</t>
  </si>
  <si>
    <t>витрати на страхові послуги</t>
  </si>
  <si>
    <t>витрати на аудиторські послуги</t>
  </si>
  <si>
    <t>витрати на службові відрядження</t>
  </si>
  <si>
    <t>витрати на зв’язок</t>
  </si>
  <si>
    <t>амортизація основних засобів і нематеріальних активів загальногосподарського призначення</t>
  </si>
  <si>
    <t>витрати на операційну оренду основних засобів та роялті, що мають загальногосподарське призначення</t>
  </si>
  <si>
    <t>витрати на страхування майна загальногосподарського призначення</t>
  </si>
  <si>
    <t>витрати на страхування загальногосподарського персоналу</t>
  </si>
  <si>
    <t xml:space="preserve">організаційно-технічні послуги </t>
  </si>
  <si>
    <t>консультаційні та інформаційні послуги</t>
  </si>
  <si>
    <t>юридичні послуги</t>
  </si>
  <si>
    <t>послуги з оцінки майна</t>
  </si>
  <si>
    <t>витрати на охорону праці загальногосподарського персоналу</t>
  </si>
  <si>
    <t xml:space="preserve">витрати на підвищення кваліфікації та перепідготовку кадрів </t>
  </si>
  <si>
    <t>витрати на утримання основних фондів, інших необоротних активів загальногосподарського використання,  у тому числі:</t>
  </si>
  <si>
    <t>витрати на поліпшення основних фондів</t>
  </si>
  <si>
    <t>інші адмінистративні витрати (розшифрувати)</t>
  </si>
  <si>
    <t>Витрати на збут, у тому числі:</t>
  </si>
  <si>
    <t>транспортні витрати</t>
  </si>
  <si>
    <t>витрати на зберігання та упаковку</t>
  </si>
  <si>
    <t>витрати на рекламу</t>
  </si>
  <si>
    <t>інші витрати на збут (розшифрувати)</t>
  </si>
  <si>
    <t>Інші операційні витрати, усього, у тому числі:</t>
  </si>
  <si>
    <t>витрати на благодійну допомогу</t>
  </si>
  <si>
    <t>відрахування до резерву сумнівних боргів</t>
  </si>
  <si>
    <t>відрахування до недержавних пенсійних фондів</t>
  </si>
  <si>
    <t>інші операційні витрати (розшифрувати)</t>
  </si>
  <si>
    <t>Фінансовий результат від операційної діяльності</t>
  </si>
  <si>
    <t>Дохід від участі в капіталі (розшифрувати)</t>
  </si>
  <si>
    <t>Інші фінансові доходи (розшифрувати)</t>
  </si>
  <si>
    <t>Втрати від участі в капіталі (розшифрувати)</t>
  </si>
  <si>
    <t>Фінансові витрати (розшифрувати)</t>
  </si>
  <si>
    <t>Інші доходи (розшифрувати), у тому числі:</t>
  </si>
  <si>
    <t>Інші витрати (розшифрувати), у тому числі:</t>
  </si>
  <si>
    <t>Фінансовий результат до оподаткування</t>
  </si>
  <si>
    <t>Витрати (дохід) з податку на прибуток</t>
  </si>
  <si>
    <t xml:space="preserve">Прибуток (збиток) від  припиненої діяльності після оподаткування </t>
  </si>
  <si>
    <t>Чистий  фінансовий результат, у тому числі:</t>
  </si>
  <si>
    <t xml:space="preserve">прибуток </t>
  </si>
  <si>
    <t>збиток</t>
  </si>
  <si>
    <t>Неконтрольована частка</t>
  </si>
  <si>
    <t>Доходи і витрати (узагальнені показники)</t>
  </si>
  <si>
    <t>Інші операційні доходи/витрати
(рядок 1030 - рядок 1080)</t>
  </si>
  <si>
    <t>Доходи/витрати від фінансової та інвестиційної діяльності
(рядок 1110 + рядок 1120 - рядок 1130 - рядок 1140)</t>
  </si>
  <si>
    <t>Інші доходи/витрати
(рядок 1150 - рядок 1160)</t>
  </si>
  <si>
    <t>Усього доходів</t>
  </si>
  <si>
    <t>Усього витрат</t>
  </si>
  <si>
    <t>Розрахунок показника EBITDA</t>
  </si>
  <si>
    <t>Фінансовий результат від операційної діяльності, рядок 1100</t>
  </si>
  <si>
    <t>плюс амортизація, рядок 1530</t>
  </si>
  <si>
    <t>мінус операційні доходи від курсових різниць, рядок 1031</t>
  </si>
  <si>
    <t>плюс операційні витрати від курсових різниць, рядок 1084</t>
  </si>
  <si>
    <t>мінус/плюс значні нетипові операційні доходи/витрати (розшифрувати)</t>
  </si>
  <si>
    <t>EBITDA</t>
  </si>
  <si>
    <t>Елементи операційних витрат</t>
  </si>
  <si>
    <t>Матеріальні витрати, у тому числі:</t>
  </si>
  <si>
    <t>витрати на паливо та енергію</t>
  </si>
  <si>
    <t>Витрати на оплату праці</t>
  </si>
  <si>
    <t>Відрахування на соціальні заходи</t>
  </si>
  <si>
    <t>Амортизація</t>
  </si>
  <si>
    <t>Інші операційні витрати</t>
  </si>
  <si>
    <t>Усього</t>
  </si>
  <si>
    <r>
      <t xml:space="preserve">Керівник             </t>
    </r>
    <r>
      <rPr>
        <b/>
        <u/>
        <sz val="14"/>
        <rFont val="Times New Roman"/>
        <family val="1"/>
        <charset val="204"/>
      </rPr>
      <t xml:space="preserve">             Директор</t>
    </r>
  </si>
  <si>
    <t>_____________________________</t>
  </si>
  <si>
    <t xml:space="preserve">                                         (посада)</t>
  </si>
  <si>
    <t xml:space="preserve">                   (підпис)</t>
  </si>
  <si>
    <t xml:space="preserve">         (ініціали, прізвище)    </t>
  </si>
  <si>
    <t>Таблиця 2</t>
  </si>
  <si>
    <t>IІ. Розрахунки з бюджетом</t>
  </si>
  <si>
    <t>Найменування показника</t>
  </si>
  <si>
    <t>Факт наростаючим підсумком                     з початку року</t>
  </si>
  <si>
    <t xml:space="preserve">план </t>
  </si>
  <si>
    <t>факт</t>
  </si>
  <si>
    <t>Розподіл чистого прибутку</t>
  </si>
  <si>
    <t>Залишок нерозподіленого прибутку (непокритого збитку) на початок звітного періоду</t>
  </si>
  <si>
    <t>Відрахування частини чистого прибутку, усього, у тому числі:</t>
  </si>
  <si>
    <t>державними унітарними підприємствами та їх об'єднаннями до державного бюджету</t>
  </si>
  <si>
    <t>господарськими товариствами, у статутному капіталі яких більше 50 відсотків акцій (часток, паїв) належать державі на виплату дивідендів</t>
  </si>
  <si>
    <t>у тому числі на державну частку</t>
  </si>
  <si>
    <t>2012/1</t>
  </si>
  <si>
    <t>Перенесено з додаткового капіталу</t>
  </si>
  <si>
    <t>Розвиток виробництва</t>
  </si>
  <si>
    <t>у тому числі за основними видами діяльності за КВЕД</t>
  </si>
  <si>
    <t>Резервний фонд</t>
  </si>
  <si>
    <t>Інші фонди (розшифрувати)</t>
  </si>
  <si>
    <t>Інші цілі (розшифрувати)</t>
  </si>
  <si>
    <t>Залишок нерозподіленого прибутку (непокритого збитку) на кінець звітного періоду</t>
  </si>
  <si>
    <t xml:space="preserve">Нараховані до сплати обов'язкові платежі підприємства до бюджету та єдиний внесок на загальнообов'язкове державне соціальне страхування </t>
  </si>
  <si>
    <t>господарськими товариствами, у статутному капіталі яких більше 50 відсотків акцій (часток, паїв) належать державі на виплату дивідендів на державну частку</t>
  </si>
  <si>
    <t>Податок на прибуток підприємств</t>
  </si>
  <si>
    <t>Податок на додану вартість, нарахований до сплати до державного бюджету за підсумками звітного періоду</t>
  </si>
  <si>
    <t>Податок на додану вартість, що підлягає відшкодуванню з державного бюджету за підсумками звітного періоду</t>
  </si>
  <si>
    <t>Продовження  таблиці 2</t>
  </si>
  <si>
    <t>Інші поточні податки, збори, обов'язкові платежі до державного та місцевих бюджетів, у тому числі:</t>
  </si>
  <si>
    <t>акцизний податок</t>
  </si>
  <si>
    <t>рентна плата за транспортування</t>
  </si>
  <si>
    <t xml:space="preserve">плата за користування надрами (оренда землі) </t>
  </si>
  <si>
    <t>податок на доходи фізичних осіб</t>
  </si>
  <si>
    <t>погашення податкового боргу, у тому числі:</t>
  </si>
  <si>
    <t>погашення реструктуризованих та відстрочених сум, що підлягають сплаті в поточному році до бюджетів та державних цільових фондів</t>
  </si>
  <si>
    <t>2145/1</t>
  </si>
  <si>
    <t>неустойки (штрафи, пені)</t>
  </si>
  <si>
    <t>2145/2</t>
  </si>
  <si>
    <t>місцеві податки та збори (розшифрувати)</t>
  </si>
  <si>
    <t>інші платежі (розшифрувати)</t>
  </si>
  <si>
    <t>військовий збір</t>
  </si>
  <si>
    <t>2147/1</t>
  </si>
  <si>
    <t>екологічний податок</t>
  </si>
  <si>
    <t>2147/2</t>
  </si>
  <si>
    <t xml:space="preserve">Єдиний внесок на загальнообов'язкове державне соціальне страхування                              </t>
  </si>
  <si>
    <t>Усього виплат на користь держави</t>
  </si>
  <si>
    <r>
      <t>Керівник</t>
    </r>
    <r>
      <rPr>
        <sz val="14"/>
        <rFont val="Times New Roman"/>
        <family val="1"/>
        <charset val="204"/>
      </rPr>
      <t xml:space="preserve">                           </t>
    </r>
    <r>
      <rPr>
        <b/>
        <u/>
        <sz val="14"/>
        <rFont val="Times New Roman"/>
        <family val="1"/>
        <charset val="204"/>
      </rPr>
      <t>Директор</t>
    </r>
  </si>
  <si>
    <t>__________________________</t>
  </si>
  <si>
    <t xml:space="preserve">                                           (посада)</t>
  </si>
  <si>
    <t xml:space="preserve">                  (підпис)</t>
  </si>
  <si>
    <t xml:space="preserve">             (ініціали, прізвище)    </t>
  </si>
  <si>
    <t>Таблиця 3</t>
  </si>
  <si>
    <t>ІІІ. Рух грошових коштів</t>
  </si>
  <si>
    <t>Код рядка</t>
  </si>
  <si>
    <t>І. Рух коштів у результаті операційної діяльності</t>
  </si>
  <si>
    <t xml:space="preserve">Прибуток (збиток) від звичайної діяльності до оподаткування </t>
  </si>
  <si>
    <t>Коригування на:</t>
  </si>
  <si>
    <t>амортизацію необоротних активів</t>
  </si>
  <si>
    <t xml:space="preserve">збільшення (зменшення) забезпечень  </t>
  </si>
  <si>
    <t xml:space="preserve">збиток (прибуток) від нереалізованих курсових різниць </t>
  </si>
  <si>
    <t>збиток (прибуток) від неопераційної діяльності та інших негрошових операцій (розшифрувати)</t>
  </si>
  <si>
    <t>Прибуток (збиток) від операційної діяльності до змін в оборотному капіталі</t>
  </si>
  <si>
    <t>Зменшення (збільшення) оборотних активів (розшифрувати)</t>
  </si>
  <si>
    <t>Збільшення (зменшення) поточних зобов’язань (розшифрувати)</t>
  </si>
  <si>
    <t>Грошові кошти від операційної діяльності</t>
  </si>
  <si>
    <t>Сплачений податок на прибуток</t>
  </si>
  <si>
    <t>Чистий рух грошових коштів операційної діяльності</t>
  </si>
  <si>
    <t>II. Рух коштів у результаті інвестиційної діяльності</t>
  </si>
  <si>
    <t xml:space="preserve">Надходження </t>
  </si>
  <si>
    <t>Виручка від реалізації основних фондів</t>
  </si>
  <si>
    <t xml:space="preserve">Виручка від реалізації нематеріальних активів </t>
  </si>
  <si>
    <t xml:space="preserve">Надходження від продажу акцій та облігацій </t>
  </si>
  <si>
    <t>Надходження від отриманих:</t>
  </si>
  <si>
    <t>відсотків </t>
  </si>
  <si>
    <t>дивідендів </t>
  </si>
  <si>
    <t>Надходження від деривативів</t>
  </si>
  <si>
    <t xml:space="preserve">Інші надходження (розшифрувати) </t>
  </si>
  <si>
    <t>Витрати</t>
  </si>
  <si>
    <t xml:space="preserve">Придбання (створення) основних засобів (розшифрувати) </t>
  </si>
  <si>
    <t xml:space="preserve">Капітальне будівництво (розшифрувати) </t>
  </si>
  <si>
    <t xml:space="preserve">Придбання (створення) нематеріальних активів (розшифрувати) </t>
  </si>
  <si>
    <t xml:space="preserve">Придбання акцій та облігацій  </t>
  </si>
  <si>
    <t>Інші витрати (розшифрувати)</t>
  </si>
  <si>
    <t>Чистий рух коштів від інвестиційної діяльності </t>
  </si>
  <si>
    <t>Продовження  таблиці 3</t>
  </si>
  <si>
    <t>III. Рух коштів у результаті фінансової діяльності</t>
  </si>
  <si>
    <t>Власного капіталу </t>
  </si>
  <si>
    <t>Отримання коштів  за довгостроковими зобов'язаннями, у тому числі:</t>
  </si>
  <si>
    <t>кредити</t>
  </si>
  <si>
    <t xml:space="preserve">позики </t>
  </si>
  <si>
    <t>облігації</t>
  </si>
  <si>
    <t>Отримання коштів за короткостроковими зобов'язаннями, у тому числі:</t>
  </si>
  <si>
    <t>Цільове фінансування  (розшифрувати)</t>
  </si>
  <si>
    <t>Сплата дивідендів на державну частку/частини чистого прибутку</t>
  </si>
  <si>
    <t>Перерахування коштів державі як власнику</t>
  </si>
  <si>
    <t>Повернення коштів  за довгостроковими зобов'язаннями, у тому числі:</t>
  </si>
  <si>
    <t>Повернення коштів за короткостроковими зобов'язаннями, у тому числі:</t>
  </si>
  <si>
    <t>Чистий рух коштів від фінансової діяльності </t>
  </si>
  <si>
    <t>Грошові кошти</t>
  </si>
  <si>
    <t>на початок періоду</t>
  </si>
  <si>
    <t xml:space="preserve">вплив зміни валютних курсів на залишок коштів </t>
  </si>
  <si>
    <t>на кінець періоду</t>
  </si>
  <si>
    <t>Чистий грошовий потік</t>
  </si>
  <si>
    <r>
      <t xml:space="preserve">Керівник </t>
    </r>
    <r>
      <rPr>
        <b/>
        <u/>
        <sz val="14"/>
        <rFont val="Times New Roman"/>
        <family val="1"/>
        <charset val="204"/>
      </rPr>
      <t xml:space="preserve">                                 Директор                    </t>
    </r>
  </si>
  <si>
    <t xml:space="preserve">                                                   (посада)</t>
  </si>
  <si>
    <t>(підпис)</t>
  </si>
  <si>
    <t xml:space="preserve">(ініціали, прізвище)    </t>
  </si>
  <si>
    <t>Таблиця 4</t>
  </si>
  <si>
    <t xml:space="preserve">IV. Капітальні інвестиції </t>
  </si>
  <si>
    <t>Капітальні інвестиції, усього,
у тому числі:</t>
  </si>
  <si>
    <t>капітальне будівництво</t>
  </si>
  <si>
    <t>4010</t>
  </si>
  <si>
    <t>придбання (виготовлення) основних засобів</t>
  </si>
  <si>
    <t>придбання (виготовлення) інших необоротних матеріальних активів</t>
  </si>
  <si>
    <t>придбання (створення) нематеріальних активів</t>
  </si>
  <si>
    <t>модернізація, модифікація (добудова, дообладнання, реконструкція) основних засобів</t>
  </si>
  <si>
    <r>
      <t xml:space="preserve">Керівник                               </t>
    </r>
    <r>
      <rPr>
        <b/>
        <u/>
        <sz val="14"/>
        <rFont val="Times New Roman"/>
        <family val="1"/>
        <charset val="204"/>
      </rPr>
      <t>Директор</t>
    </r>
  </si>
  <si>
    <t>(посада)</t>
  </si>
  <si>
    <t>Таблиця 5</t>
  </si>
  <si>
    <t>V. Коефіцієнтний аналіз</t>
  </si>
  <si>
    <t>Оптимальне значення</t>
  </si>
  <si>
    <t>Примітки</t>
  </si>
  <si>
    <t>Коефіцієнти рентабельності та прибутковості</t>
  </si>
  <si>
    <t>Валова рентабельність
(валовий прибуток, рядок 1020 / чистий дохід від реалізації продукції (товарів, робіт, послуг), рядок 1000, %)</t>
  </si>
  <si>
    <t>Збільшення</t>
  </si>
  <si>
    <t>Рентабельність EBITDA
(EBITDA, рядок 1410 / чистий дохід від реалізації продукції (товарів, робіт, послуг), рядок 1000, %)</t>
  </si>
  <si>
    <t>Характеризує ефективність використання активів підприємства</t>
  </si>
  <si>
    <t>&gt; 0</t>
  </si>
  <si>
    <t>Характеризує ефективність господарської діяльності підприємства</t>
  </si>
  <si>
    <t>Коефіцієнти фінансової стійкості та ліквідності</t>
  </si>
  <si>
    <t>Коефіцієнт відношення боргу до EBITDA
(довгострокові зобов'язання, рядок 6040 + поточні зобов'язання,                                                рядок 6050 / EBITDA, рядок 1410)</t>
  </si>
  <si>
    <t>Коефіцієнт фінансової стійкості
(власний капітал, рядок 6090 / довгострокові зобов'язання, рядок 6040 + поточні зобов'язання, рядок 6050)</t>
  </si>
  <si>
    <t>&gt; 1</t>
  </si>
  <si>
    <t>Характеризує співвідношення власних та позикових коштів і залежність підприємства від зовнішніх фінансових джерел</t>
  </si>
  <si>
    <t>Коефіцієнт поточної ліквідності (покриття)
(оборотні активи, рядок 6010 / поточні зобов'язання, рядок 6050)</t>
  </si>
  <si>
    <t>Показує достатність ресурсів підприємства, які може бути використано для погашення його поточних зобов'язань.  Нормативним значенням для цього показника є &gt; 1–1,5</t>
  </si>
  <si>
    <t>Аналіз капітальних інвестицій</t>
  </si>
  <si>
    <t>Коефіцієнт відношення капітальних інвестицій до амортизації
(рядок 4000 / рядок 1530)</t>
  </si>
  <si>
    <t>Коефіцієнт відношення капітальних інвестицій до чистого доходу (виручки) від реалізації продукції (товарів, робіт, послуг)
(рядок 4000 / рядок 1000)</t>
  </si>
  <si>
    <t>Коефіцієнт зносу основних засобів 
(сума зносу / первісна вартість основних засобів) 
(форма 1, рядок 1012 / форма 1, рядок 1011)</t>
  </si>
  <si>
    <t>Характеризує інвестиційну політику підприємства</t>
  </si>
  <si>
    <t>Ковенанти/обмежувальні коефіцієнти</t>
  </si>
  <si>
    <t>Інші коефіцієнти/ковенанти, якщо такі передбачені умовами кредитних договорів, із зазначенням банку, валюти та суми зобов'язання на дату останньої звітності, строку погашення. У графі "Оптимальне значення" вказати граничне значення коефіцієнта</t>
  </si>
  <si>
    <t>останне</t>
  </si>
  <si>
    <r>
      <t>Керівник</t>
    </r>
    <r>
      <rPr>
        <sz val="14"/>
        <rFont val="Times New Roman"/>
        <family val="1"/>
        <charset val="204"/>
      </rPr>
      <t xml:space="preserve"> </t>
    </r>
    <r>
      <rPr>
        <b/>
        <u/>
        <sz val="14"/>
        <rFont val="Times New Roman"/>
        <family val="1"/>
        <charset val="204"/>
      </rPr>
      <t xml:space="preserve">                         Директор____________</t>
    </r>
  </si>
  <si>
    <t>Затверджено</t>
  </si>
  <si>
    <t xml:space="preserve">                    Додаток 3</t>
  </si>
  <si>
    <t xml:space="preserve">до Порядку складання, затвердження </t>
  </si>
  <si>
    <t>інфраструктури міста</t>
  </si>
  <si>
    <t xml:space="preserve">та контролю виконання фінансових планів </t>
  </si>
  <si>
    <t>Сумської міської ради</t>
  </si>
  <si>
    <t>підприємств комунальної власності</t>
  </si>
  <si>
    <t>територіальної громади міста Суми</t>
  </si>
  <si>
    <t>Рік</t>
  </si>
  <si>
    <t>Коди</t>
  </si>
  <si>
    <t xml:space="preserve">Підприємство  </t>
  </si>
  <si>
    <t>Комунальне підприємство "Сумижилкомсервіс" Сумської міської ради</t>
  </si>
  <si>
    <t xml:space="preserve">за ЄДРПОУ </t>
  </si>
  <si>
    <t xml:space="preserve">Організаційно-правова форма </t>
  </si>
  <si>
    <t xml:space="preserve">комунальне підприємство </t>
  </si>
  <si>
    <t>за КОПФГ</t>
  </si>
  <si>
    <t>Територія</t>
  </si>
  <si>
    <t>Сумська</t>
  </si>
  <si>
    <t>за КОАТУУ</t>
  </si>
  <si>
    <r>
      <t xml:space="preserve">Орган  управління  </t>
    </r>
    <r>
      <rPr>
        <b/>
        <i/>
        <sz val="14"/>
        <rFont val="Times New Roman"/>
        <family val="1"/>
        <charset val="204"/>
      </rPr>
      <t xml:space="preserve"> </t>
    </r>
  </si>
  <si>
    <t>за СПОДУ</t>
  </si>
  <si>
    <t xml:space="preserve">Галузь     </t>
  </si>
  <si>
    <t>за ЗКГНГ</t>
  </si>
  <si>
    <t xml:space="preserve">Вид економічної діяльності    </t>
  </si>
  <si>
    <t>оброблення та видалення безпечних відходів</t>
  </si>
  <si>
    <t xml:space="preserve">за  КВЕД  </t>
  </si>
  <si>
    <t>Одиниця виміру, тис. гривень</t>
  </si>
  <si>
    <t>Стандарти звітності П(с)БОУ</t>
  </si>
  <si>
    <t>Форма власності</t>
  </si>
  <si>
    <t>комунальна</t>
  </si>
  <si>
    <t>Стандарти звітності МСФЗ</t>
  </si>
  <si>
    <t>Середньооблікова кількість штатних працівників</t>
  </si>
  <si>
    <t xml:space="preserve">Місцезнаходження  </t>
  </si>
  <si>
    <t xml:space="preserve">Телефон </t>
  </si>
  <si>
    <t xml:space="preserve">Прізвище та ініціали керівника  </t>
  </si>
  <si>
    <t>ЗВІТ</t>
  </si>
  <si>
    <t xml:space="preserve">ПРО ВИКОНАННЯ ФІНАНСОВОГО ПЛАНУ ПІДПРИЄМСТВА </t>
  </si>
  <si>
    <t>Основні фінансові показники</t>
  </si>
  <si>
    <t>Чистий дохід від реалізації продукції (товарів, робіт, послуг)</t>
  </si>
  <si>
    <t>Собівартість реалізованої продукції (товарів, робіт, послуг)</t>
  </si>
  <si>
    <t>Валовий прибуток/збиток</t>
  </si>
  <si>
    <t>Адміністративні витрати</t>
  </si>
  <si>
    <t>Витрати на збут</t>
  </si>
  <si>
    <t>Інші операційні доходи/витрати</t>
  </si>
  <si>
    <t>Рентабельність EBITDA</t>
  </si>
  <si>
    <t>Доходи/витрати від фінансової та інвестиційної діяльності</t>
  </si>
  <si>
    <t>Інші доходи/витрати</t>
  </si>
  <si>
    <t>Чистий  фінансовий результат</t>
  </si>
  <si>
    <t>Коефіцієнт рентабельності діяльності</t>
  </si>
  <si>
    <t>Дивіденди/відрахування частини чистого прибутку</t>
  </si>
  <si>
    <t>Податок на додану вартість нарахований/до відшкодування                            (з мінусом)</t>
  </si>
  <si>
    <t>2120/2130</t>
  </si>
  <si>
    <t>Сплата інших податків, зборів, обов'язкових платежів до державного та місцевих бюджетів</t>
  </si>
  <si>
    <t>Грошові кошти на початок періоду</t>
  </si>
  <si>
    <t>Чистий рух грошових коштів від операційної діяльності</t>
  </si>
  <si>
    <t>Чистий рух грошових коштів від інвестиційної діяльності</t>
  </si>
  <si>
    <t>Чистий рух грошових коштів від фінансової діяльності</t>
  </si>
  <si>
    <t xml:space="preserve">Вплив зміни валютних курсів на залишок коштів </t>
  </si>
  <si>
    <t>Грошові кошти на кінець періоду</t>
  </si>
  <si>
    <t>IV. Капітальні інвестиції</t>
  </si>
  <si>
    <t>Капітальні інвестиції</t>
  </si>
  <si>
    <t>Коефіцієнт рентабельності активів</t>
  </si>
  <si>
    <t>Коефіцієнт рентабельності власного капіталу</t>
  </si>
  <si>
    <t>Коефіцієнт фінансової стійкості</t>
  </si>
  <si>
    <t>VI. Звіт про фінансовий стан</t>
  </si>
  <si>
    <t>Необоротні активи</t>
  </si>
  <si>
    <t>Оборотні активи</t>
  </si>
  <si>
    <t>у тому числі грошові кошти та їх еквіваленти</t>
  </si>
  <si>
    <t>Усього активи</t>
  </si>
  <si>
    <t>Довгострокові зобов'язання і забезпечення</t>
  </si>
  <si>
    <t>Поточні зобов'язання і забезпечення</t>
  </si>
  <si>
    <t>Усього зобов'язання і забезпечення</t>
  </si>
  <si>
    <t>у тому числі державні гранти і субсидії</t>
  </si>
  <si>
    <t>у тому числі фінансові запозичення</t>
  </si>
  <si>
    <t>Власний капітал</t>
  </si>
  <si>
    <r>
      <t xml:space="preserve">Керівник                                         </t>
    </r>
    <r>
      <rPr>
        <b/>
        <u/>
        <sz val="14"/>
        <rFont val="Times New Roman"/>
        <family val="1"/>
        <charset val="204"/>
      </rPr>
      <t>Директор</t>
    </r>
  </si>
  <si>
    <t xml:space="preserve">                  (ініціали, прізвище)    </t>
  </si>
  <si>
    <t>Звітний період</t>
  </si>
  <si>
    <t>Факт за звітний період</t>
  </si>
  <si>
    <t>Б.А.Здєльнік</t>
  </si>
  <si>
    <t>Здєльнік Богдан Анатолійович</t>
  </si>
  <si>
    <t>38.21</t>
  </si>
  <si>
    <t>40030, м.Суми, вул. Романа Атаманюка, буд. 49А</t>
  </si>
  <si>
    <t>(0542)660-603</t>
  </si>
  <si>
    <t>Таблиця 6</t>
  </si>
  <si>
    <t>Інформація</t>
  </si>
  <si>
    <t>КП "Сумижилкомсервіс" СМР</t>
  </si>
  <si>
    <t>(найменування підприємства)</t>
  </si>
  <si>
    <t xml:space="preserve">      1. Дані про підприємство, персонал та фонд заробітної плати</t>
  </si>
  <si>
    <t xml:space="preserve">      Загальна інформація про підприємство (резюме)</t>
  </si>
  <si>
    <t xml:space="preserve">План минулого року            </t>
  </si>
  <si>
    <t xml:space="preserve">Факт минулого року                  </t>
  </si>
  <si>
    <t>План звітного періоду</t>
  </si>
  <si>
    <t>Відхилення,  +/–</t>
  </si>
  <si>
    <t>Виконання, %</t>
  </si>
  <si>
    <t>Середньооблікова чисельність осіб, у тому числі:</t>
  </si>
  <si>
    <t>керівники</t>
  </si>
  <si>
    <t>професіонали</t>
  </si>
  <si>
    <t>фахівці</t>
  </si>
  <si>
    <t>технічні службовці</t>
  </si>
  <si>
    <t>робітники</t>
  </si>
  <si>
    <t>інші категорії</t>
  </si>
  <si>
    <t>Фонд оплати праці, тис. гривень,                           у тому числі:</t>
  </si>
  <si>
    <t>директор</t>
  </si>
  <si>
    <t>адміністративно-управлінський персонал</t>
  </si>
  <si>
    <t>працівники</t>
  </si>
  <si>
    <t>Витрати на оплату праці,                                         тис. гривень, у тому числі:</t>
  </si>
  <si>
    <t>Середньомісячна заробітна плата одного працівника, гривень</t>
  </si>
  <si>
    <t>Середньомісячний дохід одного працівника, гривень</t>
  </si>
  <si>
    <t xml:space="preserve">У разі збільшення витрат  на оплату праці в плановому році порівняно до запланованих та порівняно з попереднім роком обов'язково надаються відповідні обґрунтування. </t>
  </si>
  <si>
    <t xml:space="preserve">      2. Перелік підприємств, які включені до консолідованого (зведеного) фінансового плану</t>
  </si>
  <si>
    <t>Код за ЄДРПОУ</t>
  </si>
  <si>
    <t>Найменування підприємства</t>
  </si>
  <si>
    <t>Продовження  таблиці 6</t>
  </si>
  <si>
    <t xml:space="preserve">      3. Інформація про бізнес підприємства (код рядка 1000 фінансового плану)</t>
  </si>
  <si>
    <t>Зміна ціни одиниці  (вартості продукції/     наданих послуг)</t>
  </si>
  <si>
    <t>чистий дохід  від реалізації продукції (товарів, робіт, послуг),     тис. гривень</t>
  </si>
  <si>
    <t>кількість продукції/             наданих послуг, одиниця виміру</t>
  </si>
  <si>
    <t>ціна одиниці     (вартість  продукції/     наданих послуг), гривень без ПДВ</t>
  </si>
  <si>
    <t>ціна одиниці     (вартість  продукції/     наданих послуг), гривень</t>
  </si>
  <si>
    <t xml:space="preserve">чистий дохід  від реалізації продукції (товарів, робіт, послуг) </t>
  </si>
  <si>
    <t xml:space="preserve">кількість продукції/     наданих послуг </t>
  </si>
  <si>
    <t>Захоронення твердих побутових відходів</t>
  </si>
  <si>
    <t xml:space="preserve">* Суттєве відхилення від плану - відсутність фінансування </t>
  </si>
  <si>
    <t xml:space="preserve">      4. Діючі фінансові зобов'язання підприємства</t>
  </si>
  <si>
    <t>Найменування  банку</t>
  </si>
  <si>
    <t xml:space="preserve">Вид кредитного продукту та цільове призначення </t>
  </si>
  <si>
    <t xml:space="preserve">Сума, валюта за договорами </t>
  </si>
  <si>
    <t>Процентна ставка</t>
  </si>
  <si>
    <t>Дата видачі / погашення (графік)</t>
  </si>
  <si>
    <t>Заборгованість на останню дату</t>
  </si>
  <si>
    <t>Забезпечення</t>
  </si>
  <si>
    <t xml:space="preserve">          </t>
  </si>
  <si>
    <t>х</t>
  </si>
  <si>
    <t xml:space="preserve">      5. Інформація щодо отримання та повернення залучених коштів</t>
  </si>
  <si>
    <t>Зобов'язання</t>
  </si>
  <si>
    <t>Заборгованість за кредитами на початок звітного періоду</t>
  </si>
  <si>
    <t>Отримано залучених коштів за звітний період</t>
  </si>
  <si>
    <t>Повернено залучених коштів  за звітний період</t>
  </si>
  <si>
    <t>Заборгованість на кінець звітного періоду</t>
  </si>
  <si>
    <t>план</t>
  </si>
  <si>
    <t xml:space="preserve">Довгострокові зобов'язання, усього </t>
  </si>
  <si>
    <t>у тому числі:</t>
  </si>
  <si>
    <t>Короткострокові зобов'язання, усього</t>
  </si>
  <si>
    <r>
      <t>у тому числі:</t>
    </r>
    <r>
      <rPr>
        <i/>
        <sz val="12"/>
        <rFont val="Times New Roman"/>
        <family val="1"/>
        <charset val="204"/>
      </rPr>
      <t xml:space="preserve"> </t>
    </r>
  </si>
  <si>
    <t>Інші фінансові зобов'язання, усього</t>
  </si>
  <si>
    <t>6. Витрати, пов'язані з використанням власних службових автомобілів (у складі адміністративних витрат, рядок 1041)</t>
  </si>
  <si>
    <t>№ з/п</t>
  </si>
  <si>
    <t>Марка</t>
  </si>
  <si>
    <t>Рік придбання</t>
  </si>
  <si>
    <t>Мета використання</t>
  </si>
  <si>
    <t>Витрати, усього</t>
  </si>
  <si>
    <t>У тому числі за їх видами</t>
  </si>
  <si>
    <t>матеріальні витрати</t>
  </si>
  <si>
    <t>оплата праці</t>
  </si>
  <si>
    <t>амортизація</t>
  </si>
  <si>
    <t>інші витрати</t>
  </si>
  <si>
    <t>7. Витрати на оренду службових автомобілів (у складі адміністративних витрат, рядок 1042)</t>
  </si>
  <si>
    <t>Договір</t>
  </si>
  <si>
    <t>Дата початку оренди</t>
  </si>
  <si>
    <t>8. Джерела капітальних інвестицій</t>
  </si>
  <si>
    <t>тис. гривень (без ПДВ)</t>
  </si>
  <si>
    <t>Найменування об’єкта</t>
  </si>
  <si>
    <t>Залучення кредитних коштів</t>
  </si>
  <si>
    <t>Бюджетне фінансування</t>
  </si>
  <si>
    <t>Відсоток</t>
  </si>
  <si>
    <t>9. Капітальне будівництво (рядок 4010 таблиці 4)</t>
  </si>
  <si>
    <t>№</t>
  </si>
  <si>
    <t>Загальна кошторисна вартість</t>
  </si>
  <si>
    <t>Незавершене будівництво на початок планового року</t>
  </si>
  <si>
    <t>Документ, яким затверджений титул будови, із зазначенням органу, який його погодив</t>
  </si>
  <si>
    <t>освоєння капітальних вкладень</t>
  </si>
  <si>
    <t>фінансування капітальних інвестицій (оплата грошовими коштами), усього</t>
  </si>
  <si>
    <t xml:space="preserve">у тому числі </t>
  </si>
  <si>
    <t>власні кошти</t>
  </si>
  <si>
    <t>кредитні кошти</t>
  </si>
  <si>
    <t>інші джерела (зазначити джерело)</t>
  </si>
  <si>
    <t>Коефіцієнт рентабельності активів
(чистий фінансовий результат, рядок 1200 / вартість активів, рядок 6030)</t>
  </si>
  <si>
    <t>Коефіцієнт рентабельності власного капіталу
(чистий фінансовий результат, рядок 1200 / власний капітал, рядок 6090)</t>
  </si>
  <si>
    <t>Коефіцієнт рентабельності діяльності
(чистий фінансовий результат, рядок 1200 / чистий дохід від реалізації продукції (товарів, робіт, послуг), рядок 1000)</t>
  </si>
  <si>
    <t>Управління ББ</t>
  </si>
  <si>
    <t>ВАЗ 21154 ВМ 5488 АК</t>
  </si>
  <si>
    <t>службове використання</t>
  </si>
  <si>
    <t>ГАЗ 3110 ВМ 0311 АА</t>
  </si>
  <si>
    <t>Сума орендної плати</t>
  </si>
  <si>
    <t>усього на рік</t>
  </si>
  <si>
    <t xml:space="preserve">Найменування об’єкта </t>
  </si>
  <si>
    <t>Рік початку        і закінчення будівництва</t>
  </si>
  <si>
    <t>Первісна балансова вартість введених потужностей на початок планового року</t>
  </si>
  <si>
    <t>Плановий квартал</t>
  </si>
  <si>
    <t>Інформація щодо проектно-кошторисної документації (стан розроблення, затвердження, у разі затвердження зазначити орган, яким затверджено, та відповідний документ)</t>
  </si>
  <si>
    <t>Керівник                               Директор</t>
  </si>
  <si>
    <t>__________________________________________________</t>
  </si>
  <si>
    <t>(ініціали, прізвище)</t>
  </si>
  <si>
    <t>Факт наростаючим підсумком                            з початку року</t>
  </si>
  <si>
    <t>За рахунок прибутку,що залишаеться в розпорядженні підприємства</t>
  </si>
  <si>
    <t>По захороненню-1 тис.грн.  По управлінню  ББ -51 тис.грн.</t>
  </si>
  <si>
    <t>зах</t>
  </si>
  <si>
    <t>убб</t>
  </si>
  <si>
    <t>Директор департаменту</t>
  </si>
  <si>
    <t>______________________ О.І.Журба</t>
  </si>
  <si>
    <t>за   2020 рік</t>
  </si>
  <si>
    <t>минулий  рік                 2019 рік</t>
  </si>
  <si>
    <t>поточний рік                     2020 рік</t>
  </si>
  <si>
    <t>Звітний     2020 рік</t>
  </si>
  <si>
    <t>минулий рік               2019 року</t>
  </si>
  <si>
    <t>поточний рік                 2020 рік</t>
  </si>
  <si>
    <t xml:space="preserve">план                         2020 року </t>
  </si>
  <si>
    <t xml:space="preserve">факт                            2020 року </t>
  </si>
  <si>
    <t>минулий рік                            2019 рік</t>
  </si>
  <si>
    <t>поточний рік                                       2020 рік</t>
  </si>
  <si>
    <t>план                                    2020 рік</t>
  </si>
  <si>
    <t>факт                                   2020 рік</t>
  </si>
  <si>
    <t>минулий рік               2019 рік</t>
  </si>
  <si>
    <t>поточний рік                2020 рік</t>
  </si>
  <si>
    <t>план                  2020 рік</t>
  </si>
  <si>
    <t>факт                 2020 рік</t>
  </si>
  <si>
    <t>минулий рік                2019 рік</t>
  </si>
  <si>
    <t>поточний рік                                   2020 рік</t>
  </si>
  <si>
    <t>план                                               2020 рік</t>
  </si>
  <si>
    <t>факт                                                       2020 рік</t>
  </si>
  <si>
    <t>минулий рік                         2019 рік</t>
  </si>
  <si>
    <t>поточний рік                         2020 рік</t>
  </si>
  <si>
    <t xml:space="preserve">поточний рік                          2020 рік </t>
  </si>
  <si>
    <t>до фінансового плану за  2020 рік</t>
  </si>
  <si>
    <t>Плановий рік 2020, усього</t>
  </si>
  <si>
    <t>Факт звітного періоду                  2020 рік</t>
  </si>
  <si>
    <t>План   2020 рік</t>
  </si>
  <si>
    <r>
      <t xml:space="preserve">Факт   </t>
    </r>
    <r>
      <rPr>
        <sz val="11"/>
        <rFont val="Times New Roman"/>
        <family val="1"/>
        <charset val="204"/>
      </rPr>
      <t>2020 рі</t>
    </r>
    <r>
      <rPr>
        <sz val="12"/>
        <rFont val="Times New Roman"/>
        <family val="1"/>
        <charset val="204"/>
      </rPr>
      <t>к</t>
    </r>
  </si>
  <si>
    <t>За рахунок амортизаційних відрахувань</t>
  </si>
  <si>
    <t>б/л</t>
  </si>
  <si>
    <t>есв</t>
  </si>
  <si>
    <t>минулий рік                           2019 рік</t>
  </si>
  <si>
    <t xml:space="preserve">По захороненню-10189 тис.грн.                        По управлінню  ББ -12974 тис.грн.  </t>
  </si>
  <si>
    <t xml:space="preserve">Витрати  по захороненню- 1770 тис.грн.  Витрати по управлінн ББ - 73 тис.грн.
</t>
  </si>
  <si>
    <t>Витрати  по захороненню-33 тис.грн.    Витрати по управліннб ББ -2 662 тис.грн. Витрати здійснювались в межах тарифу.</t>
  </si>
  <si>
    <t xml:space="preserve">Витрати по захороненню -1 956 тис.грн. Витрати по управлінню ББ- 3 952 тис.грн                                          </t>
  </si>
  <si>
    <t xml:space="preserve">Витрати по захороненню-403 тис.грн Витрати по управлінню ББ - 857 тис.грн                                             </t>
  </si>
  <si>
    <t xml:space="preserve">Витрати по захороненню -645 тис.грн Витрати по управлінню ББ-12 тис.грн    </t>
  </si>
  <si>
    <t>Витрати  по захороненню-3 575 тис.грн.   ( екологічний податок,оренда землі,лабораторні дослідження та ін. ) Витрати по УББ -13   тис.грн.</t>
  </si>
  <si>
    <t>По захороненню прибуток -2 886 тис.грн. По управлінню  ББ прибуток 1 141  тис.грн.</t>
  </si>
  <si>
    <t>Витрати  по захороненню - 28 тис.грн.  Витрати по управлінню ББ - 41 тис.грн.</t>
  </si>
  <si>
    <t>Витрати  по захороненню- 8 тис.грн.    Витрати по управлінню ББ - 12тис.грн. Відповідно до укладених  договорів на послуги.</t>
  </si>
  <si>
    <t>Витрати  по захороненню -987 тис.грн.  Витрати по управлінню ББ - 1 456 тис.грн. Враховано підвищення прожиткового мінімуму  з 01.01.2020 та 01.07.2020 року</t>
  </si>
  <si>
    <t xml:space="preserve">По захороненню - 8 тис.грн.   По управлінню  ББ -13  тис.грн. </t>
  </si>
  <si>
    <t>По захороненню-45 тис.грн.  По управлінню  ББ -66 тис.грн. Відповідно до укладеніх договорів на обслуговунання( збільшення  вартості послуг).</t>
  </si>
  <si>
    <t>По захороненню 13 тис.грн. По управлінню  ББ -18 тис.грн. Відповідно до укладеніх договорів на обслуговунання.</t>
  </si>
  <si>
    <t>По захороненню 27 тис.грн. По управлінню  ББ -40 тис.грн. Відповідно до укладеніх договорів на обслуговунання.</t>
  </si>
  <si>
    <t xml:space="preserve">Витрати  по захороненню -2 тис.грн.   Витрати по управлінню ББ -4 тис.грн. </t>
  </si>
  <si>
    <t>Витрати  по захороненню -51 тис.грн.   Витрати по управлінню ББ -75 тис.грн.  В межах тарифу.</t>
  </si>
  <si>
    <t>Витрати  по захороненню -1 598 тис.грн. Витрати по управлінню ББ - 74 тис.грн.</t>
  </si>
  <si>
    <t xml:space="preserve">По захороненню-461 тис.грн.                        По УББ -0 тис.грн.  </t>
  </si>
  <si>
    <t>Відсотки за користування овердрафтом по захороненню -14 тис.грн  По УББ -20 тис.грн</t>
  </si>
  <si>
    <t xml:space="preserve">Дохід від захоронення ПВ -13 042 тис.грн. Дохід від управління ББ-         16 126 тис.грн. </t>
  </si>
  <si>
    <t xml:space="preserve">Вартість послуг захоронення 10 156 тис.грн. Вартість послуг управління ББ 14 985 тис грн
</t>
  </si>
  <si>
    <t>Витрати  по захороненню-1 387 тис.грн.  Витрати по управлінню ББ - 2 046  тис.грн.</t>
  </si>
  <si>
    <t>Витрати  по захороненню -218 тис.грн.  Витрати по управлінню ББ -321 тис.грн. Враховано підвищення прожиткового мінімуму  з  01.01.2020оку</t>
  </si>
  <si>
    <t>Витрати  по захороненню -588 тис.грн.  Витрати по управлінню ББ - 724  тис.грн.</t>
  </si>
  <si>
    <t>Витрати  по захороненню -1598 тис.грн.    Витрати по УББ -74 тис.грн.</t>
  </si>
  <si>
    <t>Захоронення  ПВ  прибуток 271 тис.грн.УББ  збиток - 1703  тис грн</t>
  </si>
  <si>
    <t xml:space="preserve">По захороненню-8  тис.грн.                        По УББ - 35 тис.грн.  </t>
  </si>
  <si>
    <t xml:space="preserve">По захороненню-710 тис.грн.                        По УББ збиток -1758 тис.грн.  </t>
  </si>
  <si>
    <t>Витрати  по захороненню -588 тис.грн.    Витрати по управліннб ББ -724 тис.грн.  Збільшення вартісті послуг банків та РЦ в звязку із збільшенням обороту коштів.</t>
  </si>
  <si>
    <t xml:space="preserve">По захороненню-2125 тис.грн.                        По управлінню  ББ -3340 тис.грн.  </t>
  </si>
  <si>
    <t xml:space="preserve">По захороненню-1803 тис.грн.                        По управлінню  ББ -2735 тис.грн.  </t>
  </si>
  <si>
    <t xml:space="preserve">По захороненню-2948 тис.грн.                        По управлінню  ББ -5460 тис.грн.  </t>
  </si>
  <si>
    <t xml:space="preserve">По захороненню-622 тис.грн.                        По управлінню  ББ -1201 тис.грн.  </t>
  </si>
  <si>
    <t xml:space="preserve">По захороненню- 653 тис.грн.                        По управлінню  ББ -25 тис.грн.  </t>
  </si>
  <si>
    <t xml:space="preserve">По захороненню-14 461 тис.грн.                        По управлінню  ББ -16 126 тис.грн.  </t>
  </si>
  <si>
    <t xml:space="preserve">По захороненню- 13 751 тис.грн.                        По управлінню  ББ 17 884 тис.грн.  </t>
  </si>
  <si>
    <t xml:space="preserve">                                                                                                                                                                                                                  </t>
  </si>
  <si>
    <t xml:space="preserve">По захороненню - реалізація талонів на захоронення ПВ -937 тис.грн. списання кредиторської заборгованості- 18 тис.грн. Компенсація з/пл мобілізованого працівника-3 тис.грн.. По управлінню ББ - 0  тис.грн  </t>
  </si>
  <si>
    <t>+</t>
  </si>
  <si>
    <t>Витрати  по захороненню-304 тис.грн.  Витрати по управлінню ББ -574 тис.грн.
Витрати, пов'язані з закупівлею змінно-запасних частин та матеріалів, необхідних для забезпечення безперебійної роботи транспортних засобів на полігоні ТПВ, обладнання, для забезпечення господарської діяльності Підприємства .</t>
  </si>
  <si>
    <t>Витрати по захороненню-1 470 тис.грн. Витрати по управлінню ББ  -6 842  тис.грн. Відповідно до укладених договорів на УББ ,витрати на аварійне обслуговування будинків, обслуговування ДВК, технічне обслуговування ліфтів та систем диспетчеризації, поточний ремонт ліфтів та конструктивних елементів будинків, експлуатація ліфтів, обслуговування бойлерів та насосів згідно звернень громадян.</t>
  </si>
  <si>
    <t xml:space="preserve">По захороненню-332 тис.грн.                        По управлінню  ББ -615 тис.грн.  </t>
  </si>
  <si>
    <t xml:space="preserve">По захороненню- 7393 тис.грн.                        По управлінню  ББ -7848 тис.грн.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</si>
</sst>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dd\.mm\.yyyy;@"/>
    <numFmt numFmtId="167" formatCode="0.000"/>
    <numFmt numFmtId="168" formatCode="#,##0.000"/>
  </numFmts>
  <fonts count="24" x14ac:knownFonts="1">
    <font>
      <sz val="11"/>
      <color theme="1"/>
      <name val="Calibri"/>
      <family val="2"/>
      <scheme val="minor"/>
    </font>
    <font>
      <sz val="14"/>
      <name val="Times New Roman"/>
      <family val="1"/>
      <charset val="204"/>
    </font>
    <font>
      <b/>
      <sz val="12"/>
      <name val="Times New Roman"/>
      <family val="1"/>
      <charset val="204"/>
    </font>
    <font>
      <sz val="16"/>
      <name val="Times New Roman"/>
      <family val="1"/>
      <charset val="204"/>
    </font>
    <font>
      <b/>
      <sz val="14"/>
      <name val="Times New Roman"/>
      <family val="1"/>
      <charset val="204"/>
    </font>
    <font>
      <sz val="9"/>
      <name val="Times New Roman"/>
      <family val="1"/>
      <charset val="204"/>
    </font>
    <font>
      <sz val="10"/>
      <name val="Arial"/>
      <family val="2"/>
      <charset val="204"/>
    </font>
    <font>
      <b/>
      <u/>
      <sz val="14"/>
      <name val="Times New Roman"/>
      <family val="1"/>
      <charset val="204"/>
    </font>
    <font>
      <sz val="10"/>
      <name val="Arial Cyr"/>
      <charset val="204"/>
    </font>
    <font>
      <sz val="14"/>
      <name val="Arial Cyr"/>
      <charset val="204"/>
    </font>
    <font>
      <sz val="10"/>
      <name val="Times New Roman"/>
      <family val="1"/>
      <charset val="204"/>
    </font>
    <font>
      <sz val="8"/>
      <name val="Arial"/>
      <family val="2"/>
    </font>
    <font>
      <b/>
      <sz val="16"/>
      <color indexed="10"/>
      <name val="Times New Roman"/>
      <family val="1"/>
      <charset val="204"/>
    </font>
    <font>
      <b/>
      <i/>
      <sz val="14"/>
      <name val="Times New Roman"/>
      <family val="1"/>
      <charset val="204"/>
    </font>
    <font>
      <sz val="12"/>
      <name val="Times New Roman"/>
      <family val="1"/>
      <charset val="204"/>
    </font>
    <font>
      <b/>
      <i/>
      <sz val="12"/>
      <name val="Times New Roman"/>
      <family val="1"/>
      <charset val="204"/>
    </font>
    <font>
      <i/>
      <sz val="12"/>
      <name val="Times New Roman"/>
      <family val="1"/>
      <charset val="204"/>
    </font>
    <font>
      <sz val="11"/>
      <name val="Times New Roman"/>
      <family val="1"/>
      <charset val="204"/>
    </font>
    <font>
      <b/>
      <sz val="11"/>
      <name val="Times New Roman"/>
      <family val="1"/>
      <charset val="204"/>
    </font>
    <font>
      <sz val="11"/>
      <color indexed="9"/>
      <name val="Times New Roman"/>
      <family val="1"/>
      <charset val="204"/>
    </font>
    <font>
      <sz val="11"/>
      <name val="Arial Cyr"/>
      <charset val="204"/>
    </font>
    <font>
      <b/>
      <i/>
      <sz val="11"/>
      <name val="Times New Roman"/>
      <family val="1"/>
      <charset val="204"/>
    </font>
    <font>
      <sz val="8"/>
      <name val="Times New Roman"/>
      <family val="1"/>
      <charset val="204"/>
    </font>
    <font>
      <sz val="8"/>
      <color rgb="FFFF0000"/>
      <name val="Times New Roman"/>
      <family val="1"/>
      <charset val="204"/>
    </font>
  </fonts>
  <fills count="3">
    <fill>
      <patternFill patternType="none"/>
    </fill>
    <fill>
      <patternFill patternType="gray125"/>
    </fill>
    <fill>
      <patternFill patternType="solid">
        <fgColor indexed="4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6" fillId="2" borderId="0" applyNumberFormat="0" applyFill="0" applyAlignment="0">
      <alignment horizontal="center"/>
      <protection locked="0"/>
    </xf>
    <xf numFmtId="0" fontId="8" fillId="0" borderId="0"/>
    <xf numFmtId="0" fontId="11" fillId="0" borderId="0"/>
  </cellStyleXfs>
  <cellXfs count="423">
    <xf numFmtId="0" fontId="0" fillId="0" borderId="0" xfId="0"/>
    <xf numFmtId="0" fontId="1" fillId="0" borderId="0" xfId="0" applyFont="1" applyFill="1" applyBorder="1" applyAlignment="1">
      <alignment vertical="center"/>
    </xf>
    <xf numFmtId="0" fontId="1" fillId="0" borderId="0" xfId="0" applyFont="1" applyFill="1" applyAlignment="1">
      <alignment horizontal="right" vertical="center"/>
    </xf>
    <xf numFmtId="0" fontId="4"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quotePrefix="1" applyFont="1" applyFill="1" applyBorder="1" applyAlignment="1">
      <alignment horizontal="center" vertical="center"/>
    </xf>
    <xf numFmtId="164" fontId="1" fillId="0" borderId="1" xfId="0" quotePrefix="1" applyNumberFormat="1" applyFont="1" applyFill="1" applyBorder="1" applyAlignment="1">
      <alignment horizontal="center" vertical="center" wrapText="1"/>
    </xf>
    <xf numFmtId="3" fontId="1" fillId="0" borderId="1" xfId="0" quotePrefix="1" applyNumberFormat="1" applyFont="1" applyFill="1" applyBorder="1" applyAlignment="1">
      <alignment horizontal="center" vertical="center" wrapText="1"/>
    </xf>
    <xf numFmtId="164" fontId="4" fillId="0" borderId="1" xfId="0" quotePrefix="1" applyNumberFormat="1" applyFont="1" applyFill="1" applyBorder="1" applyAlignment="1">
      <alignment horizontal="center" vertical="center" wrapText="1"/>
    </xf>
    <xf numFmtId="0" fontId="1" fillId="0" borderId="0" xfId="0" applyFont="1" applyFill="1" applyAlignment="1">
      <alignment vertical="center"/>
    </xf>
    <xf numFmtId="0" fontId="1" fillId="0" borderId="1" xfId="1" applyFont="1" applyFill="1" applyBorder="1" applyAlignment="1">
      <alignment horizontal="left" vertical="center" wrapText="1"/>
      <protection locked="0"/>
    </xf>
    <xf numFmtId="0" fontId="1" fillId="0" borderId="1"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quotePrefix="1"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0" xfId="2" applyFont="1" applyFill="1" applyBorder="1" applyAlignment="1">
      <alignment vertical="center"/>
    </xf>
    <xf numFmtId="0" fontId="1" fillId="0" borderId="0" xfId="2" applyFont="1" applyFill="1" applyBorder="1" applyAlignment="1">
      <alignment horizontal="center" vertical="center"/>
    </xf>
    <xf numFmtId="0" fontId="1" fillId="0" borderId="1" xfId="2" applyFont="1" applyFill="1" applyBorder="1" applyAlignment="1">
      <alignment horizontal="left" vertical="center" wrapText="1"/>
    </xf>
    <xf numFmtId="0" fontId="4" fillId="0" borderId="0" xfId="2" applyFont="1" applyFill="1" applyBorder="1" applyAlignment="1">
      <alignment vertical="center"/>
    </xf>
    <xf numFmtId="0" fontId="4" fillId="0" borderId="1" xfId="2" applyFont="1" applyFill="1" applyBorder="1" applyAlignment="1">
      <alignment horizontal="center" vertical="center"/>
    </xf>
    <xf numFmtId="0" fontId="1" fillId="0" borderId="1" xfId="2" applyFont="1" applyFill="1" applyBorder="1" applyAlignment="1">
      <alignment horizontal="right" vertical="center" wrapText="1"/>
    </xf>
    <xf numFmtId="164" fontId="4" fillId="0" borderId="1" xfId="0" applyNumberFormat="1" applyFont="1" applyFill="1" applyBorder="1" applyAlignment="1">
      <alignment horizontal="center" vertical="center" wrapText="1"/>
    </xf>
    <xf numFmtId="0" fontId="1" fillId="0" borderId="0" xfId="2" applyFont="1" applyFill="1" applyBorder="1" applyAlignment="1">
      <alignment horizontal="left" vertical="center" wrapText="1"/>
    </xf>
    <xf numFmtId="0" fontId="1" fillId="0" borderId="0" xfId="2" applyFont="1" applyFill="1" applyBorder="1" applyAlignment="1">
      <alignment vertical="center" wrapText="1"/>
    </xf>
    <xf numFmtId="0" fontId="1" fillId="0" borderId="0" xfId="0" applyFont="1" applyFill="1" applyBorder="1" applyAlignment="1">
      <alignment horizontal="right" vertical="center"/>
    </xf>
    <xf numFmtId="0" fontId="9" fillId="0" borderId="0" xfId="2" applyFont="1" applyFill="1"/>
    <xf numFmtId="0" fontId="1" fillId="0" borderId="1" xfId="0" applyFont="1" applyFill="1" applyBorder="1" applyAlignment="1">
      <alignment vertical="center"/>
    </xf>
    <xf numFmtId="0" fontId="4" fillId="0" borderId="0" xfId="0" applyFont="1" applyFill="1" applyAlignment="1">
      <alignment vertical="center"/>
    </xf>
    <xf numFmtId="0" fontId="4" fillId="0" borderId="0" xfId="0" quotePrefix="1" applyFont="1" applyFill="1" applyBorder="1" applyAlignment="1">
      <alignment horizontal="center" vertical="center"/>
    </xf>
    <xf numFmtId="0" fontId="1" fillId="0" borderId="1" xfId="0" quotePrefix="1"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0" fillId="0" borderId="0" xfId="0" applyFont="1" applyFill="1"/>
    <xf numFmtId="0" fontId="1" fillId="0" borderId="0" xfId="0" applyFont="1" applyFill="1" applyAlignment="1">
      <alignment horizontal="center"/>
    </xf>
    <xf numFmtId="0" fontId="1" fillId="0" borderId="1" xfId="3" applyFont="1" applyFill="1" applyBorder="1" applyAlignment="1">
      <alignment horizontal="center" vertical="center"/>
    </xf>
    <xf numFmtId="0" fontId="1" fillId="0" borderId="0" xfId="0" applyFont="1" applyFill="1"/>
    <xf numFmtId="0" fontId="4" fillId="0" borderId="1" xfId="3" applyFont="1" applyFill="1" applyBorder="1" applyAlignment="1">
      <alignment horizontal="left" vertical="center"/>
    </xf>
    <xf numFmtId="0" fontId="1" fillId="0" borderId="1" xfId="3" applyNumberFormat="1" applyFont="1" applyFill="1" applyBorder="1" applyAlignment="1">
      <alignment horizontal="center" vertical="center" wrapText="1"/>
    </xf>
    <xf numFmtId="0" fontId="1" fillId="0" borderId="1" xfId="3" applyNumberFormat="1" applyFont="1" applyFill="1" applyBorder="1" applyAlignment="1">
      <alignment horizontal="left" vertical="center" wrapText="1"/>
    </xf>
    <xf numFmtId="0" fontId="1" fillId="0" borderId="1" xfId="3" applyNumberFormat="1" applyFont="1" applyFill="1" applyBorder="1" applyAlignment="1">
      <alignment horizontal="left" vertical="top" wrapText="1"/>
    </xf>
    <xf numFmtId="0" fontId="1" fillId="0" borderId="1" xfId="3" applyFont="1" applyFill="1" applyBorder="1" applyAlignment="1">
      <alignment horizontal="center" vertical="center" wrapText="1"/>
    </xf>
    <xf numFmtId="49" fontId="1" fillId="0" borderId="1" xfId="3" applyNumberFormat="1" applyFont="1" applyFill="1" applyBorder="1" applyAlignment="1">
      <alignment horizontal="left" vertical="center" wrapText="1"/>
    </xf>
    <xf numFmtId="0" fontId="12" fillId="0" borderId="0" xfId="0" applyFont="1" applyFill="1"/>
    <xf numFmtId="0" fontId="1" fillId="0" borderId="3" xfId="0" applyFont="1" applyFill="1" applyBorder="1" applyAlignment="1">
      <alignment vertical="center"/>
    </xf>
    <xf numFmtId="0" fontId="1" fillId="0" borderId="1" xfId="0" applyFont="1" applyFill="1" applyBorder="1" applyAlignment="1">
      <alignment horizontal="left" vertical="center"/>
    </xf>
    <xf numFmtId="0" fontId="1" fillId="0" borderId="3" xfId="0" applyFont="1" applyFill="1" applyBorder="1" applyAlignment="1">
      <alignment vertical="center" wrapText="1"/>
    </xf>
    <xf numFmtId="0" fontId="1" fillId="0" borderId="1" xfId="0" applyFont="1" applyFill="1" applyBorder="1" applyAlignment="1">
      <alignment vertical="center" wrapText="1"/>
    </xf>
    <xf numFmtId="0" fontId="1" fillId="0" borderId="4" xfId="0" applyFont="1" applyFill="1" applyBorder="1" applyAlignment="1">
      <alignment vertical="center" wrapText="1"/>
    </xf>
    <xf numFmtId="0" fontId="1" fillId="0" borderId="4" xfId="0" applyFont="1" applyFill="1" applyBorder="1" applyAlignment="1">
      <alignment vertical="center"/>
    </xf>
    <xf numFmtId="0" fontId="4" fillId="0" borderId="1" xfId="1" applyFont="1" applyFill="1" applyBorder="1" applyAlignment="1">
      <alignment horizontal="left" vertical="center" wrapText="1"/>
      <protection locked="0"/>
    </xf>
    <xf numFmtId="0" fontId="4" fillId="0" borderId="1"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164" fontId="1" fillId="0" borderId="0" xfId="0" applyNumberFormat="1" applyFont="1" applyFill="1" applyBorder="1" applyAlignment="1">
      <alignment horizontal="center" vertical="center"/>
    </xf>
    <xf numFmtId="164" fontId="4" fillId="0" borderId="0" xfId="0" quotePrefix="1" applyNumberFormat="1" applyFont="1" applyFill="1" applyBorder="1" applyAlignment="1">
      <alignment horizontal="center"/>
    </xf>
    <xf numFmtId="0" fontId="2"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4" fillId="0" borderId="1" xfId="1" applyFont="1" applyFill="1" applyBorder="1" applyAlignment="1">
      <alignment horizontal="left" vertical="center" wrapText="1"/>
      <protection locked="0"/>
    </xf>
    <xf numFmtId="164" fontId="1" fillId="0" borderId="0" xfId="0" applyNumberFormat="1" applyFont="1" applyFill="1" applyAlignment="1">
      <alignment horizontal="left" vertical="center"/>
    </xf>
    <xf numFmtId="164" fontId="1" fillId="0" borderId="0" xfId="0" applyNumberFormat="1" applyFont="1" applyFill="1" applyAlignment="1">
      <alignment horizontal="right" vertical="center"/>
    </xf>
    <xf numFmtId="164" fontId="1" fillId="0" borderId="2" xfId="0" applyNumberFormat="1" applyFont="1" applyFill="1" applyBorder="1" applyAlignment="1">
      <alignment horizontal="center" vertical="center" wrapText="1"/>
    </xf>
    <xf numFmtId="164" fontId="1" fillId="0" borderId="1" xfId="0" quotePrefix="1"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164" fontId="4" fillId="0" borderId="1" xfId="0" quotePrefix="1"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4" fontId="1" fillId="0" borderId="0" xfId="0" applyNumberFormat="1" applyFont="1" applyFill="1" applyAlignment="1">
      <alignment vertical="center"/>
    </xf>
    <xf numFmtId="164" fontId="1" fillId="0" borderId="1" xfId="0" applyNumberFormat="1" applyFont="1" applyFill="1" applyBorder="1" applyAlignment="1">
      <alignment vertical="center"/>
    </xf>
    <xf numFmtId="165" fontId="1" fillId="0" borderId="1" xfId="0" applyNumberFormat="1" applyFont="1" applyFill="1" applyBorder="1" applyAlignment="1">
      <alignment horizontal="center" vertical="center" wrapText="1"/>
    </xf>
    <xf numFmtId="0" fontId="14" fillId="0" borderId="0" xfId="0" applyFont="1" applyFill="1" applyAlignment="1">
      <alignment vertical="center"/>
    </xf>
    <xf numFmtId="0" fontId="14" fillId="0" borderId="3"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164" fontId="14" fillId="0" borderId="1" xfId="0" applyNumberFormat="1" applyFont="1" applyFill="1" applyBorder="1" applyAlignment="1">
      <alignment horizontal="center" vertical="center"/>
    </xf>
    <xf numFmtId="0" fontId="14" fillId="0" borderId="1" xfId="0" applyFont="1" applyFill="1" applyBorder="1" applyAlignment="1">
      <alignment horizontal="left" vertical="center"/>
    </xf>
    <xf numFmtId="0" fontId="2" fillId="0" borderId="0" xfId="0" applyFont="1" applyFill="1" applyBorder="1" applyAlignment="1">
      <alignment horizontal="center" vertical="center"/>
    </xf>
    <xf numFmtId="0" fontId="14"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Fill="1" applyAlignment="1">
      <alignment vertical="center"/>
    </xf>
    <xf numFmtId="0" fontId="14" fillId="0" borderId="0" xfId="0" applyFont="1" applyFill="1" applyBorder="1" applyAlignment="1">
      <alignment horizontal="left" vertical="center" wrapText="1"/>
    </xf>
    <xf numFmtId="3" fontId="14" fillId="0" borderId="0" xfId="0" applyNumberFormat="1" applyFont="1" applyFill="1" applyBorder="1" applyAlignment="1">
      <alignment horizontal="center" vertic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shrinkToFit="1"/>
    </xf>
    <xf numFmtId="49" fontId="14" fillId="0" borderId="0" xfId="0" applyNumberFormat="1" applyFont="1" applyFill="1" applyBorder="1" applyAlignment="1">
      <alignment horizontal="left" vertical="center" wrapText="1"/>
    </xf>
    <xf numFmtId="3" fontId="1" fillId="0" borderId="1" xfId="0" applyNumberFormat="1" applyFont="1" applyFill="1" applyBorder="1" applyAlignment="1">
      <alignment horizontal="center" vertical="center"/>
    </xf>
    <xf numFmtId="0" fontId="14" fillId="0" borderId="0" xfId="0" applyFont="1" applyFill="1" applyAlignment="1">
      <alignment vertical="center"/>
    </xf>
    <xf numFmtId="0" fontId="4" fillId="0" borderId="0" xfId="2" applyFont="1" applyFill="1" applyBorder="1" applyAlignment="1">
      <alignment horizontal="center" vertical="center"/>
    </xf>
    <xf numFmtId="0" fontId="1" fillId="0" borderId="0" xfId="0" applyFont="1" applyFill="1" applyBorder="1" applyAlignment="1">
      <alignment horizontal="left" vertical="justify"/>
    </xf>
    <xf numFmtId="0" fontId="1" fillId="0" borderId="5" xfId="0" applyFont="1" applyFill="1" applyBorder="1" applyAlignment="1">
      <alignment vertical="center"/>
    </xf>
    <xf numFmtId="0" fontId="1" fillId="0" borderId="5" xfId="0" applyFont="1" applyFill="1" applyBorder="1" applyAlignment="1">
      <alignment vertical="center" wrapText="1"/>
    </xf>
    <xf numFmtId="0" fontId="1" fillId="0" borderId="0" xfId="0" applyFont="1" applyFill="1" applyBorder="1" applyAlignment="1">
      <alignment horizontal="center" vertical="center" wrapText="1"/>
    </xf>
    <xf numFmtId="0" fontId="4" fillId="0" borderId="1" xfId="0" quotePrefix="1"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xf>
    <xf numFmtId="0" fontId="1" fillId="0" borderId="1" xfId="0" quotePrefix="1" applyFont="1" applyFill="1" applyBorder="1" applyAlignment="1">
      <alignment horizontal="center"/>
    </xf>
    <xf numFmtId="0" fontId="4" fillId="0" borderId="0" xfId="0" quotePrefix="1" applyFont="1" applyFill="1" applyBorder="1" applyAlignment="1">
      <alignment horizontal="center"/>
    </xf>
    <xf numFmtId="3" fontId="1" fillId="0" borderId="4" xfId="0" applyNumberFormat="1" applyFont="1" applyFill="1" applyBorder="1" applyAlignment="1">
      <alignment horizontal="center" vertical="center" wrapText="1"/>
    </xf>
    <xf numFmtId="0" fontId="14" fillId="0" borderId="0" xfId="0" applyFont="1" applyFill="1" applyAlignment="1">
      <alignment vertical="center"/>
    </xf>
    <xf numFmtId="164" fontId="1" fillId="0" borderId="0" xfId="0" quotePrefix="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0" xfId="0" applyFont="1" applyFill="1" applyAlignment="1">
      <alignment horizontal="right" vertical="center"/>
    </xf>
    <xf numFmtId="0" fontId="1" fillId="0" borderId="4"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Alignment="1">
      <alignment vertical="center"/>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7" fillId="0" borderId="1" xfId="0" applyNumberFormat="1" applyFont="1" applyFill="1" applyBorder="1" applyAlignment="1">
      <alignment horizontal="center" vertical="center" wrapText="1" shrinkToFit="1"/>
    </xf>
    <xf numFmtId="0" fontId="17" fillId="0" borderId="0" xfId="0" applyFont="1" applyFill="1" applyBorder="1" applyAlignment="1">
      <alignment horizontal="left" vertical="center" wrapText="1" shrinkToFit="1"/>
    </xf>
    <xf numFmtId="3" fontId="17" fillId="0" borderId="0" xfId="0" applyNumberFormat="1" applyFont="1" applyFill="1" applyBorder="1" applyAlignment="1">
      <alignment horizontal="center" vertical="center" wrapText="1"/>
    </xf>
    <xf numFmtId="3" fontId="17" fillId="0" borderId="8" xfId="0" applyNumberFormat="1" applyFont="1" applyFill="1" applyBorder="1" applyAlignment="1">
      <alignment vertical="center" wrapText="1"/>
    </xf>
    <xf numFmtId="165" fontId="18" fillId="0" borderId="0" xfId="0" applyNumberFormat="1" applyFont="1" applyFill="1" applyBorder="1" applyAlignment="1">
      <alignment horizontal="right" vertical="center" wrapText="1"/>
    </xf>
    <xf numFmtId="165" fontId="18" fillId="0" borderId="0" xfId="0" applyNumberFormat="1"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164" fontId="18" fillId="0" borderId="0" xfId="0" applyNumberFormat="1" applyFont="1" applyFill="1" applyBorder="1" applyAlignment="1">
      <alignment horizontal="center" vertical="center"/>
    </xf>
    <xf numFmtId="164" fontId="18" fillId="0" borderId="0" xfId="0" applyNumberFormat="1" applyFont="1" applyFill="1" applyBorder="1" applyAlignment="1">
      <alignment vertical="center"/>
    </xf>
    <xf numFmtId="0" fontId="17" fillId="0" borderId="1" xfId="0" applyFont="1" applyFill="1" applyBorder="1" applyAlignment="1">
      <alignment horizontal="center" vertical="center" wrapText="1" shrinkToFit="1"/>
    </xf>
    <xf numFmtId="3" fontId="17" fillId="0" borderId="1" xfId="0" applyNumberFormat="1" applyFont="1" applyFill="1" applyBorder="1" applyAlignment="1">
      <alignment horizontal="center" vertical="center" wrapText="1" shrinkToFit="1"/>
    </xf>
    <xf numFmtId="0" fontId="17" fillId="0" borderId="6" xfId="0" applyFont="1" applyFill="1" applyBorder="1" applyAlignment="1">
      <alignment vertical="center"/>
    </xf>
    <xf numFmtId="0" fontId="17" fillId="0" borderId="6" xfId="0" applyFont="1" applyFill="1" applyBorder="1" applyAlignment="1">
      <alignment horizontal="center" vertical="center"/>
    </xf>
    <xf numFmtId="164" fontId="19"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0" fontId="18" fillId="0" borderId="0" xfId="0" applyFont="1" applyFill="1" applyBorder="1" applyAlignment="1">
      <alignment horizontal="right" vertical="center"/>
    </xf>
    <xf numFmtId="165" fontId="18" fillId="0" borderId="0" xfId="0" applyNumberFormat="1" applyFont="1" applyFill="1" applyBorder="1" applyAlignment="1">
      <alignment horizontal="right" vertical="center"/>
    </xf>
    <xf numFmtId="0" fontId="20" fillId="0" borderId="0" xfId="0" applyFont="1" applyFill="1" applyAlignment="1">
      <alignment vertical="center"/>
    </xf>
    <xf numFmtId="0" fontId="20" fillId="0" borderId="0" xfId="0" applyFont="1" applyFill="1"/>
    <xf numFmtId="0" fontId="20" fillId="0" borderId="0" xfId="0" applyFont="1" applyFill="1" applyAlignment="1">
      <alignment horizontal="center" vertical="center"/>
    </xf>
    <xf numFmtId="0" fontId="17" fillId="0" borderId="1" xfId="0" applyNumberFormat="1" applyFont="1" applyFill="1" applyBorder="1" applyAlignment="1">
      <alignment horizontal="center" vertical="center"/>
    </xf>
    <xf numFmtId="0" fontId="17" fillId="0" borderId="1" xfId="0" applyNumberFormat="1" applyFont="1" applyFill="1" applyBorder="1"/>
    <xf numFmtId="0" fontId="17" fillId="0" borderId="0" xfId="0" applyFont="1" applyFill="1" applyAlignment="1">
      <alignment horizontal="center" vertical="center"/>
    </xf>
    <xf numFmtId="0" fontId="17" fillId="0" borderId="0" xfId="0" applyFont="1" applyFill="1" applyAlignment="1"/>
    <xf numFmtId="0" fontId="18" fillId="0" borderId="0" xfId="0" applyFont="1" applyFill="1" applyAlignment="1">
      <alignment horizontal="right"/>
    </xf>
    <xf numFmtId="0" fontId="17" fillId="0" borderId="0" xfId="0" applyFont="1" applyFill="1" applyBorder="1" applyAlignment="1"/>
    <xf numFmtId="0" fontId="17" fillId="0" borderId="0" xfId="0" applyFont="1" applyFill="1" applyBorder="1" applyAlignment="1">
      <alignment horizontal="center"/>
    </xf>
    <xf numFmtId="0" fontId="17" fillId="0" borderId="0" xfId="0" applyFont="1" applyFill="1" applyAlignment="1">
      <alignment vertical="center" wrapText="1" shrinkToFit="1"/>
    </xf>
    <xf numFmtId="0" fontId="17" fillId="0" borderId="0" xfId="0" applyFont="1" applyFill="1" applyBorder="1" applyAlignment="1">
      <alignment vertical="center" wrapText="1" shrinkToFit="1"/>
    </xf>
    <xf numFmtId="0" fontId="18" fillId="0" borderId="0" xfId="0" applyFont="1" applyFill="1" applyAlignment="1">
      <alignment horizontal="right" vertical="center"/>
    </xf>
    <xf numFmtId="0" fontId="21" fillId="0" borderId="0" xfId="0" applyFont="1" applyFill="1" applyAlignment="1">
      <alignment vertical="center"/>
    </xf>
    <xf numFmtId="167" fontId="1" fillId="0" borderId="1" xfId="0" applyNumberFormat="1" applyFont="1" applyFill="1" applyBorder="1" applyAlignment="1">
      <alignment horizontal="center" vertical="center" wrapText="1"/>
    </xf>
    <xf numFmtId="167" fontId="1" fillId="0" borderId="1" xfId="3"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0" xfId="0" quotePrefix="1" applyNumberFormat="1" applyFont="1" applyFill="1" applyBorder="1" applyAlignment="1">
      <alignment vertical="center" wrapText="1"/>
    </xf>
    <xf numFmtId="49" fontId="10"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8" fontId="1" fillId="0" borderId="1"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1" fillId="0" borderId="0" xfId="0" applyNumberFormat="1" applyFont="1" applyFill="1" applyAlignment="1">
      <alignment horizontal="center" vertical="center"/>
    </xf>
    <xf numFmtId="1" fontId="1" fillId="0" borderId="0" xfId="0" applyNumberFormat="1" applyFont="1" applyFill="1" applyBorder="1" applyAlignment="1">
      <alignment horizontal="center" vertical="center"/>
    </xf>
    <xf numFmtId="1" fontId="1" fillId="0" borderId="0" xfId="0" applyNumberFormat="1" applyFont="1" applyFill="1" applyAlignment="1">
      <alignment horizontal="center" vertical="center"/>
    </xf>
    <xf numFmtId="165" fontId="17" fillId="0" borderId="1" xfId="0" applyNumberFormat="1" applyFont="1" applyFill="1" applyBorder="1" applyAlignment="1">
      <alignment horizontal="center" vertical="center" wrapText="1"/>
    </xf>
    <xf numFmtId="3" fontId="1" fillId="0" borderId="0" xfId="0" applyNumberFormat="1" applyFont="1" applyFill="1" applyBorder="1" applyAlignment="1">
      <alignment vertical="center"/>
    </xf>
    <xf numFmtId="3" fontId="1" fillId="0" borderId="0" xfId="0" applyNumberFormat="1"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2" applyFont="1" applyFill="1" applyBorder="1" applyAlignment="1">
      <alignment horizontal="left" vertical="center" wrapText="1"/>
    </xf>
    <xf numFmtId="49" fontId="5" fillId="0" borderId="1" xfId="0" applyNumberFormat="1" applyFont="1" applyFill="1" applyBorder="1" applyAlignment="1">
      <alignment horizontal="left" vertical="top" wrapText="1"/>
    </xf>
    <xf numFmtId="4" fontId="4" fillId="0" borderId="0" xfId="0" applyNumberFormat="1" applyFont="1" applyFill="1" applyBorder="1" applyAlignment="1">
      <alignment horizontal="center" vertical="center"/>
    </xf>
    <xf numFmtId="0" fontId="4" fillId="0" borderId="1" xfId="0" applyFont="1" applyFill="1" applyBorder="1" applyAlignment="1">
      <alignment horizontal="left" vertical="center" wrapText="1" shrinkToFit="1"/>
    </xf>
    <xf numFmtId="0" fontId="4" fillId="0" borderId="0" xfId="0" applyFont="1" applyFill="1" applyAlignment="1">
      <alignment horizontal="center" vertical="center"/>
    </xf>
    <xf numFmtId="2" fontId="1" fillId="0" borderId="1" xfId="0" applyNumberFormat="1" applyFont="1" applyFill="1" applyBorder="1" applyAlignment="1">
      <alignment horizontal="center" vertical="center" wrapText="1"/>
    </xf>
    <xf numFmtId="0" fontId="0" fillId="0" borderId="0" xfId="0" applyFill="1"/>
    <xf numFmtId="164"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164" fontId="1"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0" xfId="0" applyFont="1" applyFill="1" applyAlignment="1">
      <alignment horizontal="center" vertical="center" textRotation="180"/>
    </xf>
    <xf numFmtId="0" fontId="1" fillId="0" borderId="1" xfId="0" applyFont="1" applyFill="1" applyBorder="1" applyAlignment="1">
      <alignment horizontal="center" vertical="center" wrapText="1" shrinkToFit="1"/>
    </xf>
    <xf numFmtId="164" fontId="1" fillId="0" borderId="0" xfId="0" quotePrefix="1" applyNumberFormat="1" applyFont="1" applyFill="1" applyBorder="1" applyAlignment="1">
      <alignment horizontal="center"/>
    </xf>
    <xf numFmtId="164" fontId="1" fillId="0" borderId="1"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164" fontId="1" fillId="0" borderId="0" xfId="2" applyNumberFormat="1" applyFont="1" applyFill="1" applyBorder="1" applyAlignment="1">
      <alignment horizontal="center" vertical="center"/>
    </xf>
    <xf numFmtId="3" fontId="17" fillId="0" borderId="0" xfId="0" applyNumberFormat="1" applyFont="1" applyFill="1" applyAlignment="1">
      <alignment vertical="center"/>
    </xf>
    <xf numFmtId="1" fontId="4" fillId="0" borderId="0" xfId="0" applyNumberFormat="1" applyFont="1" applyFill="1" applyBorder="1" applyAlignment="1">
      <alignment vertical="center"/>
    </xf>
    <xf numFmtId="1" fontId="1" fillId="0" borderId="0" xfId="0" applyNumberFormat="1" applyFont="1" applyFill="1" applyBorder="1" applyAlignment="1">
      <alignment vertical="center"/>
    </xf>
    <xf numFmtId="1" fontId="1" fillId="0" borderId="0" xfId="0" applyNumberFormat="1" applyFont="1" applyFill="1" applyAlignment="1">
      <alignment vertical="center"/>
    </xf>
    <xf numFmtId="49" fontId="22" fillId="0" borderId="1" xfId="0" applyNumberFormat="1" applyFont="1" applyFill="1" applyBorder="1" applyAlignment="1">
      <alignment horizontal="left" vertical="center" wrapText="1"/>
    </xf>
    <xf numFmtId="49" fontId="23" fillId="0" borderId="1" xfId="0" applyNumberFormat="1" applyFont="1" applyFill="1" applyBorder="1" applyAlignment="1">
      <alignment horizontal="left" vertical="center" wrapText="1"/>
    </xf>
    <xf numFmtId="3" fontId="4" fillId="0" borderId="0" xfId="0" applyNumberFormat="1" applyFont="1" applyFill="1" applyBorder="1" applyAlignment="1">
      <alignment vertical="center"/>
    </xf>
    <xf numFmtId="4" fontId="14" fillId="0" borderId="1"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2"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0" fontId="3" fillId="0" borderId="0" xfId="2" applyFont="1" applyFill="1" applyBorder="1" applyAlignment="1">
      <alignment horizontal="center" vertical="center" textRotation="177"/>
    </xf>
    <xf numFmtId="0" fontId="4" fillId="0" borderId="0" xfId="2" applyFont="1" applyFill="1" applyBorder="1" applyAlignment="1">
      <alignment horizontal="center" vertical="center"/>
    </xf>
    <xf numFmtId="0" fontId="1" fillId="0" borderId="1" xfId="2" applyFont="1" applyFill="1" applyBorder="1" applyAlignment="1">
      <alignment horizontal="center" vertical="center" wrapText="1"/>
    </xf>
    <xf numFmtId="0" fontId="4" fillId="0" borderId="1" xfId="2"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wrapText="1"/>
    </xf>
    <xf numFmtId="0" fontId="2" fillId="0" borderId="0" xfId="0" applyFont="1" applyFill="1" applyBorder="1" applyAlignment="1">
      <alignment vertical="center"/>
    </xf>
    <xf numFmtId="0" fontId="14" fillId="0" borderId="1" xfId="0" applyFont="1" applyFill="1" applyBorder="1" applyAlignment="1">
      <alignment horizontal="center" vertical="center"/>
    </xf>
    <xf numFmtId="164" fontId="14" fillId="0" borderId="1" xfId="0" applyNumberFormat="1" applyFont="1" applyFill="1" applyBorder="1" applyAlignment="1">
      <alignment horizontal="center" vertical="center" wrapText="1"/>
    </xf>
    <xf numFmtId="0" fontId="14" fillId="0" borderId="0" xfId="0" applyFont="1" applyFill="1" applyAlignment="1">
      <alignment horizontal="center" vertical="center" textRotation="180"/>
    </xf>
    <xf numFmtId="49" fontId="14" fillId="0" borderId="1" xfId="0" applyNumberFormat="1" applyFont="1" applyFill="1" applyBorder="1" applyAlignment="1">
      <alignment horizontal="left" vertical="center" wrapText="1"/>
    </xf>
    <xf numFmtId="49" fontId="14" fillId="0" borderId="0" xfId="0" applyNumberFormat="1" applyFont="1" applyFill="1" applyBorder="1" applyAlignment="1">
      <alignment horizontal="right" vertical="center" wrapText="1"/>
    </xf>
    <xf numFmtId="164" fontId="2" fillId="0"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Alignment="1">
      <alignment vertical="center"/>
    </xf>
    <xf numFmtId="0" fontId="17" fillId="0" borderId="0" xfId="0" applyFont="1" applyFill="1" applyAlignment="1">
      <alignment horizontal="center" vertical="center"/>
    </xf>
    <xf numFmtId="3" fontId="17" fillId="0" borderId="1" xfId="0" applyNumberFormat="1"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0" xfId="0" applyFont="1" applyFill="1" applyAlignment="1">
      <alignment horizontal="right" vertical="center"/>
    </xf>
    <xf numFmtId="164" fontId="1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Border="1" applyAlignment="1">
      <alignment horizontal="left" vertical="center"/>
    </xf>
    <xf numFmtId="164" fontId="1" fillId="0" borderId="0" xfId="0" applyNumberFormat="1" applyFont="1" applyFill="1" applyBorder="1" applyAlignment="1">
      <alignment horizontal="center" vertical="center" wrapText="1"/>
    </xf>
    <xf numFmtId="0" fontId="1" fillId="0" borderId="0" xfId="0" applyFont="1" applyFill="1" applyAlignment="1">
      <alignment horizontal="left" vertical="center"/>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0" xfId="0" applyFont="1" applyFill="1" applyAlignment="1">
      <alignment horizontal="center" vertical="center"/>
    </xf>
    <xf numFmtId="164" fontId="17" fillId="0" borderId="1" xfId="0" applyNumberFormat="1" applyFont="1" applyFill="1" applyBorder="1" applyAlignment="1">
      <alignment horizontal="center" vertical="center" wrapText="1"/>
    </xf>
    <xf numFmtId="0" fontId="14" fillId="0" borderId="0" xfId="0" applyFont="1" applyFill="1" applyAlignment="1">
      <alignment horizontal="center" vertical="center"/>
    </xf>
    <xf numFmtId="49" fontId="14" fillId="0" borderId="0" xfId="0" applyNumberFormat="1" applyFont="1" applyFill="1" applyBorder="1" applyAlignment="1">
      <alignment horizontal="center" vertical="center" wrapText="1"/>
    </xf>
    <xf numFmtId="0" fontId="2" fillId="0" borderId="0" xfId="0" applyFont="1" applyFill="1" applyBorder="1" applyAlignment="1">
      <alignment horizontal="right" vertical="center"/>
    </xf>
    <xf numFmtId="164" fontId="14" fillId="0" borderId="0" xfId="0" applyNumberFormat="1" applyFont="1" applyFill="1" applyAlignment="1">
      <alignment vertical="center"/>
    </xf>
    <xf numFmtId="165" fontId="4"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Border="1" applyAlignment="1">
      <alignment horizontal="left" vertical="center"/>
    </xf>
    <xf numFmtId="164" fontId="1" fillId="0" borderId="0" xfId="0" applyNumberFormat="1" applyFont="1" applyFill="1" applyBorder="1" applyAlignment="1">
      <alignment horizontal="center" vertical="center" wrapText="1"/>
    </xf>
    <xf numFmtId="0" fontId="1" fillId="0" borderId="0" xfId="0" applyFont="1" applyFill="1" applyAlignment="1">
      <alignment horizontal="left" vertical="center"/>
    </xf>
    <xf numFmtId="164" fontId="1"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64" fontId="1" fillId="0" borderId="0" xfId="0" applyNumberFormat="1" applyFont="1" applyFill="1" applyAlignment="1">
      <alignment horizontal="center" vertical="center"/>
    </xf>
    <xf numFmtId="0" fontId="3" fillId="0" borderId="0" xfId="0" applyFont="1" applyFill="1" applyAlignment="1">
      <alignment horizontal="center" vertical="center" textRotation="180"/>
    </xf>
    <xf numFmtId="0" fontId="1" fillId="0" borderId="0" xfId="0" applyFont="1" applyFill="1" applyAlignment="1">
      <alignment horizontal="center" vertical="center"/>
    </xf>
    <xf numFmtId="0" fontId="14" fillId="0" borderId="1" xfId="0" applyFont="1" applyFill="1" applyBorder="1" applyAlignment="1">
      <alignment horizontal="left" vertical="center" wrapText="1"/>
    </xf>
    <xf numFmtId="164" fontId="1" fillId="0" borderId="0"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left"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5" xfId="0" applyFill="1" applyBorder="1" applyAlignment="1">
      <alignment horizontal="left" vertical="center" wrapText="1"/>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2" applyFont="1" applyFill="1" applyBorder="1" applyAlignment="1">
      <alignment horizontal="center" vertical="center"/>
    </xf>
    <xf numFmtId="0" fontId="4" fillId="0" borderId="1" xfId="3"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 fontId="1" fillId="0" borderId="4" xfId="0" applyNumberFormat="1" applyFont="1" applyFill="1" applyBorder="1" applyAlignment="1">
      <alignment horizontal="right" vertical="center" wrapText="1"/>
    </xf>
    <xf numFmtId="3" fontId="1" fillId="0" borderId="5" xfId="0" applyNumberFormat="1" applyFont="1" applyFill="1" applyBorder="1" applyAlignment="1">
      <alignment horizontal="right" vertical="center" wrapText="1"/>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textRotation="180"/>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164" fontId="1" fillId="0" borderId="0" xfId="0" applyNumberFormat="1" applyFont="1" applyFill="1" applyBorder="1" applyAlignment="1">
      <alignment horizontal="left" vertical="center" wrapText="1"/>
    </xf>
    <xf numFmtId="164" fontId="1" fillId="0" borderId="6" xfId="0" applyNumberFormat="1" applyFont="1" applyFill="1" applyBorder="1" applyAlignment="1">
      <alignment horizontal="center" vertical="center"/>
    </xf>
    <xf numFmtId="164" fontId="1" fillId="0" borderId="0" xfId="0" applyNumberFormat="1" applyFont="1" applyFill="1" applyBorder="1" applyAlignment="1">
      <alignment horizontal="left" vertical="center"/>
    </xf>
    <xf numFmtId="164" fontId="1" fillId="0" borderId="0" xfId="0" applyNumberFormat="1" applyFont="1" applyFill="1" applyAlignment="1">
      <alignment horizontal="center" vertical="center"/>
    </xf>
    <xf numFmtId="0" fontId="2" fillId="0" borderId="0"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4" fontId="1" fillId="0" borderId="3" xfId="2" applyNumberFormat="1" applyFont="1" applyFill="1" applyBorder="1" applyAlignment="1">
      <alignment horizontal="right" vertical="center" wrapText="1"/>
    </xf>
    <xf numFmtId="164" fontId="1" fillId="0" borderId="4" xfId="2" applyNumberFormat="1" applyFont="1" applyFill="1" applyBorder="1" applyAlignment="1">
      <alignment horizontal="right" vertical="center" wrapText="1"/>
    </xf>
    <xf numFmtId="164" fontId="1" fillId="0" borderId="5" xfId="2" applyNumberFormat="1" applyFont="1" applyFill="1" applyBorder="1" applyAlignment="1">
      <alignment horizontal="right" vertical="center" wrapText="1"/>
    </xf>
    <xf numFmtId="0" fontId="3" fillId="0" borderId="0" xfId="2" applyFont="1" applyFill="1" applyBorder="1" applyAlignment="1">
      <alignment horizontal="center" vertical="center" textRotation="177"/>
    </xf>
    <xf numFmtId="0" fontId="4" fillId="0" borderId="0" xfId="2" applyFont="1" applyFill="1" applyBorder="1" applyAlignment="1">
      <alignment horizontal="center" vertical="center"/>
    </xf>
    <xf numFmtId="0" fontId="1" fillId="0" borderId="1" xfId="2" applyFont="1" applyFill="1" applyBorder="1" applyAlignment="1">
      <alignment horizontal="center" vertical="center" wrapText="1"/>
    </xf>
    <xf numFmtId="0" fontId="4" fillId="0" borderId="1" xfId="2" applyFont="1" applyFill="1" applyBorder="1" applyAlignment="1">
      <alignment horizontal="left" vertical="center" wrapText="1"/>
    </xf>
    <xf numFmtId="3" fontId="1" fillId="0" borderId="3" xfId="0" applyNumberFormat="1" applyFont="1" applyFill="1" applyBorder="1" applyAlignment="1">
      <alignment horizontal="right" vertical="center" wrapText="1"/>
    </xf>
    <xf numFmtId="3" fontId="1" fillId="0" borderId="4" xfId="0" quotePrefix="1" applyNumberFormat="1" applyFont="1" applyFill="1" applyBorder="1" applyAlignment="1">
      <alignment horizontal="right" vertical="center" wrapText="1"/>
    </xf>
    <xf numFmtId="3" fontId="1" fillId="0" borderId="5" xfId="0" quotePrefix="1" applyNumberFormat="1" applyFont="1" applyFill="1" applyBorder="1" applyAlignment="1">
      <alignment horizontal="right" vertical="center" wrapText="1"/>
    </xf>
    <xf numFmtId="0" fontId="3" fillId="0" borderId="0" xfId="0" applyFont="1" applyFill="1" applyAlignment="1">
      <alignment horizontal="center" vertical="center" textRotation="180"/>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shrinkToFit="1"/>
    </xf>
    <xf numFmtId="0" fontId="1" fillId="0" borderId="6" xfId="0" applyFont="1" applyFill="1" applyBorder="1" applyAlignment="1">
      <alignment horizontal="right" vertical="center"/>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4" fillId="0" borderId="0" xfId="3" applyNumberFormat="1" applyFont="1" applyFill="1" applyBorder="1" applyAlignment="1">
      <alignment horizontal="center" vertical="center" wrapText="1"/>
    </xf>
    <xf numFmtId="0" fontId="1" fillId="0" borderId="2" xfId="3" applyNumberFormat="1" applyFont="1" applyFill="1" applyBorder="1" applyAlignment="1">
      <alignment horizontal="center" vertical="center" wrapText="1"/>
    </xf>
    <xf numFmtId="0" fontId="1" fillId="0" borderId="7" xfId="3"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 fillId="0" borderId="0" xfId="0" applyFont="1" applyFill="1" applyBorder="1" applyAlignment="1">
      <alignment vertical="center"/>
    </xf>
    <xf numFmtId="0" fontId="14" fillId="0" borderId="1" xfId="0" applyFont="1" applyFill="1" applyBorder="1" applyAlignment="1">
      <alignment horizontal="center" vertical="center"/>
    </xf>
    <xf numFmtId="3" fontId="14" fillId="0" borderId="1" xfId="0" applyNumberFormat="1"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164" fontId="14" fillId="0" borderId="1" xfId="0" applyNumberFormat="1" applyFont="1" applyFill="1" applyBorder="1" applyAlignment="1">
      <alignment horizontal="center" vertical="center" wrapText="1"/>
    </xf>
    <xf numFmtId="0" fontId="14" fillId="0" borderId="0" xfId="0" applyFont="1" applyFill="1" applyAlignment="1">
      <alignment horizontal="center" vertical="center" textRotation="180"/>
    </xf>
    <xf numFmtId="0" fontId="14"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5" fillId="0" borderId="8" xfId="0" applyFont="1" applyFill="1" applyBorder="1" applyAlignment="1">
      <alignment horizontal="left" vertical="center"/>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8" xfId="0" applyNumberFormat="1" applyFont="1" applyFill="1" applyBorder="1" applyAlignment="1">
      <alignment horizontal="right" vertical="center" wrapText="1"/>
    </xf>
    <xf numFmtId="49" fontId="14" fillId="0" borderId="0" xfId="0" applyNumberFormat="1" applyFont="1" applyFill="1" applyBorder="1" applyAlignment="1">
      <alignment horizontal="right" vertical="center" wrapText="1"/>
    </xf>
    <xf numFmtId="0" fontId="14" fillId="0" borderId="0" xfId="0" applyFont="1" applyFill="1" applyBorder="1" applyAlignment="1">
      <alignment horizontal="justify" vertical="center" wrapText="1" shrinkToFit="1"/>
    </xf>
    <xf numFmtId="164" fontId="14" fillId="0" borderId="3" xfId="0" applyNumberFormat="1" applyFont="1" applyFill="1" applyBorder="1" applyAlignment="1">
      <alignment horizontal="center" vertical="center" wrapText="1"/>
    </xf>
    <xf numFmtId="164" fontId="14" fillId="0" borderId="5"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0" fontId="14" fillId="0" borderId="0" xfId="0" applyFont="1" applyFill="1" applyAlignment="1">
      <alignment horizontal="right" vertical="center" wrapText="1"/>
    </xf>
    <xf numFmtId="0" fontId="2" fillId="0" borderId="0" xfId="0" applyFont="1" applyFill="1" applyAlignment="1">
      <alignment horizontal="center" vertical="center"/>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0" fontId="17" fillId="0" borderId="0" xfId="0" applyFont="1" applyFill="1" applyAlignment="1">
      <alignment horizontal="center" vertical="center"/>
    </xf>
    <xf numFmtId="3"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left" vertical="center" wrapText="1"/>
    </xf>
    <xf numFmtId="0" fontId="18" fillId="0" borderId="6" xfId="0" applyFont="1" applyFill="1" applyBorder="1" applyAlignment="1">
      <alignment horizontal="left" vertical="center"/>
    </xf>
    <xf numFmtId="165" fontId="18" fillId="0" borderId="0" xfId="0" applyNumberFormat="1" applyFont="1" applyFill="1" applyBorder="1" applyAlignment="1">
      <alignment horizontal="center" vertical="center"/>
    </xf>
    <xf numFmtId="0" fontId="17" fillId="0" borderId="6" xfId="0" applyFont="1" applyFill="1" applyBorder="1" applyAlignment="1">
      <alignment horizontal="center" vertical="center"/>
    </xf>
    <xf numFmtId="0" fontId="17" fillId="0" borderId="3" xfId="0" applyFont="1" applyFill="1" applyBorder="1" applyAlignment="1">
      <alignment horizontal="left"/>
    </xf>
    <xf numFmtId="0" fontId="17" fillId="0" borderId="4" xfId="0" applyFont="1" applyFill="1" applyBorder="1" applyAlignment="1">
      <alignment horizontal="left"/>
    </xf>
    <xf numFmtId="0" fontId="17" fillId="0" borderId="5" xfId="0" applyFont="1" applyFill="1" applyBorder="1" applyAlignment="1">
      <alignment horizontal="left"/>
    </xf>
    <xf numFmtId="3" fontId="17" fillId="0" borderId="3" xfId="0" applyNumberFormat="1"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0" fontId="17" fillId="0" borderId="3" xfId="0" applyNumberFormat="1" applyFont="1" applyFill="1" applyBorder="1" applyAlignment="1">
      <alignment horizontal="center"/>
    </xf>
    <xf numFmtId="0" fontId="17" fillId="0" borderId="5" xfId="0" applyNumberFormat="1" applyFont="1" applyFill="1" applyBorder="1" applyAlignment="1">
      <alignment horizontal="center"/>
    </xf>
    <xf numFmtId="0" fontId="17" fillId="0" borderId="1"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 xfId="0" applyNumberFormat="1" applyFont="1" applyFill="1" applyBorder="1" applyAlignment="1">
      <alignment horizontal="left" vertical="center" wrapText="1" shrinkToFit="1"/>
    </xf>
    <xf numFmtId="0" fontId="17" fillId="0" borderId="4" xfId="0" applyNumberFormat="1" applyFont="1" applyFill="1" applyBorder="1" applyAlignment="1">
      <alignment horizontal="left" vertical="center" wrapText="1" shrinkToFit="1"/>
    </xf>
    <xf numFmtId="0" fontId="17" fillId="0" borderId="5" xfId="0" applyNumberFormat="1" applyFont="1" applyFill="1" applyBorder="1" applyAlignment="1">
      <alignment horizontal="left" vertical="center" wrapText="1" shrinkToFit="1"/>
    </xf>
    <xf numFmtId="0" fontId="17" fillId="0" borderId="0" xfId="0" applyFont="1" applyFill="1" applyAlignment="1">
      <alignment horizontal="right" vertical="center"/>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8" fillId="0" borderId="1" xfId="0" applyFont="1" applyFill="1" applyBorder="1" applyAlignment="1">
      <alignment horizontal="center" vertical="center" wrapText="1"/>
    </xf>
    <xf numFmtId="3" fontId="17" fillId="0" borderId="1" xfId="0" applyNumberFormat="1" applyFont="1" applyFill="1" applyBorder="1" applyAlignment="1">
      <alignment horizontal="center" vertical="center" wrapText="1" shrinkToFit="1"/>
    </xf>
    <xf numFmtId="0" fontId="17" fillId="0" borderId="1" xfId="0" applyNumberFormat="1" applyFont="1" applyFill="1" applyBorder="1" applyAlignment="1">
      <alignment horizontal="center" vertical="center" wrapText="1" shrinkToFit="1"/>
    </xf>
    <xf numFmtId="2" fontId="17" fillId="0" borderId="2" xfId="0" applyNumberFormat="1" applyFont="1" applyFill="1" applyBorder="1" applyAlignment="1">
      <alignment horizontal="center" vertical="center" wrapText="1"/>
    </xf>
    <xf numFmtId="2" fontId="17" fillId="0" borderId="7" xfId="0" applyNumberFormat="1" applyFont="1" applyFill="1" applyBorder="1" applyAlignment="1">
      <alignment horizontal="center" vertical="center" wrapText="1"/>
    </xf>
    <xf numFmtId="0" fontId="17" fillId="0" borderId="6" xfId="0" applyFont="1" applyFill="1" applyBorder="1" applyAlignment="1">
      <alignment horizontal="right" vertical="center"/>
    </xf>
    <xf numFmtId="0" fontId="17" fillId="0" borderId="2"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17" fillId="0" borderId="8" xfId="0" applyFont="1" applyFill="1" applyBorder="1" applyAlignment="1">
      <alignment horizontal="center" vertical="center" wrapText="1" shrinkToFit="1"/>
    </xf>
    <xf numFmtId="0" fontId="17" fillId="0" borderId="10"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7" fillId="0" borderId="6"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2" fontId="17" fillId="0" borderId="3" xfId="0" applyNumberFormat="1" applyFont="1" applyFill="1" applyBorder="1" applyAlignment="1">
      <alignment horizontal="center" vertical="center" wrapText="1"/>
    </xf>
    <xf numFmtId="2" fontId="17" fillId="0" borderId="4" xfId="0" applyNumberFormat="1" applyFont="1" applyFill="1" applyBorder="1" applyAlignment="1">
      <alignment horizontal="center" vertical="center" wrapText="1"/>
    </xf>
    <xf numFmtId="2" fontId="17" fillId="0" borderId="5" xfId="0" applyNumberFormat="1" applyFont="1" applyFill="1" applyBorder="1" applyAlignment="1">
      <alignment horizontal="center" vertical="center" wrapText="1"/>
    </xf>
    <xf numFmtId="0" fontId="17" fillId="0" borderId="1" xfId="0" applyFont="1" applyFill="1" applyBorder="1" applyAlignment="1">
      <alignment horizontal="left" vertical="center" wrapText="1" shrinkToFit="1"/>
    </xf>
    <xf numFmtId="164" fontId="17" fillId="0" borderId="1"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shrinkToFit="1"/>
    </xf>
    <xf numFmtId="3" fontId="17" fillId="0" borderId="5" xfId="0" applyNumberFormat="1" applyFont="1" applyFill="1" applyBorder="1" applyAlignment="1">
      <alignment horizontal="center" vertical="center" wrapText="1" shrinkToFit="1"/>
    </xf>
    <xf numFmtId="49" fontId="17" fillId="0" borderId="1" xfId="0" applyNumberFormat="1" applyFont="1" applyFill="1" applyBorder="1" applyAlignment="1">
      <alignment horizontal="left" vertical="center" wrapText="1"/>
    </xf>
    <xf numFmtId="166" fontId="17" fillId="0" borderId="1"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shrinkToFit="1"/>
    </xf>
    <xf numFmtId="0" fontId="17" fillId="0" borderId="5"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17" fillId="0" borderId="3"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164" fontId="17" fillId="0" borderId="3" xfId="0" applyNumberFormat="1" applyFont="1" applyFill="1" applyBorder="1" applyAlignment="1">
      <alignment horizontal="center" vertical="center" wrapText="1"/>
    </xf>
    <xf numFmtId="164" fontId="17" fillId="0" borderId="4" xfId="0" applyNumberFormat="1" applyFont="1" applyFill="1" applyBorder="1" applyAlignment="1">
      <alignment horizontal="center" vertical="center" wrapText="1"/>
    </xf>
    <xf numFmtId="164" fontId="17" fillId="0" borderId="5" xfId="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0" fontId="17" fillId="0" borderId="3" xfId="0" applyFont="1" applyFill="1" applyBorder="1" applyAlignment="1">
      <alignment horizontal="left" vertical="center" wrapText="1" shrinkToFit="1"/>
    </xf>
    <xf numFmtId="0" fontId="17" fillId="0" borderId="4" xfId="0" applyFont="1" applyFill="1" applyBorder="1" applyAlignment="1">
      <alignment horizontal="left" vertical="center" wrapText="1" shrinkToFit="1"/>
    </xf>
    <xf numFmtId="0" fontId="17" fillId="0" borderId="5" xfId="0" applyFont="1" applyFill="1" applyBorder="1" applyAlignment="1">
      <alignment horizontal="left" vertical="center" wrapText="1" shrinkToFit="1"/>
    </xf>
    <xf numFmtId="0" fontId="17" fillId="0" borderId="3" xfId="0" applyNumberFormat="1" applyFont="1" applyFill="1" applyBorder="1" applyAlignment="1">
      <alignment horizontal="center" vertical="center" wrapText="1" shrinkToFit="1"/>
    </xf>
    <xf numFmtId="0" fontId="17" fillId="0" borderId="5" xfId="0" applyNumberFormat="1" applyFont="1" applyFill="1" applyBorder="1" applyAlignment="1">
      <alignment horizontal="center" vertical="center" wrapText="1" shrinkToFit="1"/>
    </xf>
    <xf numFmtId="0" fontId="17" fillId="0" borderId="0" xfId="0" applyFont="1" applyFill="1" applyAlignment="1">
      <alignment horizontal="right" vertical="center" wrapText="1"/>
    </xf>
    <xf numFmtId="0" fontId="17" fillId="0" borderId="0" xfId="0" applyFont="1" applyFill="1" applyAlignment="1">
      <alignment horizontal="center" vertical="center" textRotation="180"/>
    </xf>
    <xf numFmtId="0" fontId="17" fillId="0" borderId="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4" xfId="0" applyFont="1" applyFill="1" applyBorder="1" applyAlignment="1">
      <alignment horizontal="center" vertical="center" wrapText="1"/>
    </xf>
  </cellXfs>
  <cellStyles count="4">
    <cellStyle name="Normal_GSE DCF_Model_31_07_09 final" xfId="1"/>
    <cellStyle name="Обычный" xfId="0" builtinId="0"/>
    <cellStyle name="Обычный 2" xfId="3"/>
    <cellStyle name="Обычный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lavbuh\TMP\&#1092;&#1086;&#1088;&#1084;&#1080;%20&#1076;&#1083;&#1103;%20&#1092;&#1110;&#1085;&#1087;&#1083;&#1072;&#1085;&#1091;\&#1042;&#1080;&#1082;&#1086;&#1085;&#1072;&#1085;&#1085;&#1103;%20&#1092;&#1087;\3&#1082;&#1074;%202016&#1088;\&#1042;&#1080;&#1082;-&#1085;&#1103;%20&#1060;&#1055;%209&#1084;&#1110;&#1089;%202016%20&#1088;%20&#1044;.%203%20&#1079;&#1074;&#1110;&#109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інплан - зведені показники"/>
      <sheetName val="1. Фін результат"/>
      <sheetName val="2. Розрахунки з бюджетом"/>
      <sheetName val="3. Рух грошових коштів"/>
      <sheetName val="4. Кап. інвестиції"/>
      <sheetName val=" 5. Коефіцієнти"/>
    </sheetNames>
    <sheetDataSet>
      <sheetData sheetId="0" refreshError="1"/>
      <sheetData sheetId="1" refreshError="1">
        <row r="9">
          <cell r="B9">
            <v>1000</v>
          </cell>
        </row>
        <row r="10">
          <cell r="B10">
            <v>1010</v>
          </cell>
        </row>
        <row r="19">
          <cell r="B19">
            <v>1020</v>
          </cell>
        </row>
        <row r="22">
          <cell r="B22">
            <v>1040</v>
          </cell>
        </row>
        <row r="45">
          <cell r="B45">
            <v>1070</v>
          </cell>
        </row>
        <row r="60">
          <cell r="B60">
            <v>1100</v>
          </cell>
        </row>
        <row r="69">
          <cell r="B69">
            <v>1170</v>
          </cell>
        </row>
        <row r="70">
          <cell r="B70">
            <v>1180</v>
          </cell>
        </row>
        <row r="72">
          <cell r="B72">
            <v>1200</v>
          </cell>
        </row>
        <row r="77">
          <cell r="B77">
            <v>1300</v>
          </cell>
        </row>
        <row r="78">
          <cell r="B78">
            <v>1310</v>
          </cell>
        </row>
        <row r="79">
          <cell r="B79">
            <v>1320</v>
          </cell>
        </row>
        <row r="88">
          <cell r="B88">
            <v>1410</v>
          </cell>
        </row>
      </sheetData>
      <sheetData sheetId="2" refreshError="1">
        <row r="21">
          <cell r="B21">
            <v>2100</v>
          </cell>
        </row>
        <row r="24">
          <cell r="B24">
            <v>2110</v>
          </cell>
        </row>
        <row r="29">
          <cell r="B29">
            <v>2140</v>
          </cell>
        </row>
        <row r="41">
          <cell r="B41">
            <v>2150</v>
          </cell>
        </row>
        <row r="42">
          <cell r="B42">
            <v>2200</v>
          </cell>
        </row>
      </sheetData>
      <sheetData sheetId="3" refreshError="1">
        <row r="20">
          <cell r="B20">
            <v>3090</v>
          </cell>
        </row>
        <row r="37">
          <cell r="B37">
            <v>3320</v>
          </cell>
        </row>
        <row r="65">
          <cell r="B65">
            <v>3580</v>
          </cell>
        </row>
        <row r="67">
          <cell r="B67">
            <v>3600</v>
          </cell>
        </row>
        <row r="68">
          <cell r="B68">
            <v>3610</v>
          </cell>
        </row>
        <row r="69">
          <cell r="B69">
            <v>3620</v>
          </cell>
        </row>
      </sheetData>
      <sheetData sheetId="4" refreshError="1">
        <row r="8">
          <cell r="B8">
            <v>4000</v>
          </cell>
        </row>
      </sheetData>
      <sheetData sheetId="5" refreshError="1">
        <row r="10">
          <cell r="B10">
            <v>5010</v>
          </cell>
        </row>
        <row r="11">
          <cell r="B11">
            <v>5020</v>
          </cell>
        </row>
        <row r="12">
          <cell r="B12">
            <v>5030</v>
          </cell>
        </row>
        <row r="13">
          <cell r="B13">
            <v>5040</v>
          </cell>
        </row>
        <row r="16">
          <cell r="B16">
            <v>5110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topLeftCell="A58" zoomScaleNormal="100" workbookViewId="0">
      <pane xSplit="1" topLeftCell="B1" activePane="topRight" state="frozen"/>
      <selection activeCell="A37" sqref="A37"/>
      <selection pane="topRight" activeCell="B91" sqref="B91"/>
    </sheetView>
  </sheetViews>
  <sheetFormatPr defaultRowHeight="18.75" outlineLevelRow="1" x14ac:dyDescent="0.25"/>
  <cols>
    <col min="1" max="1" width="76.28515625" style="1" customWidth="1"/>
    <col min="2" max="2" width="14.85546875" style="218" customWidth="1"/>
    <col min="3" max="3" width="25.5703125" style="218" customWidth="1"/>
    <col min="4" max="4" width="29.28515625" style="218" customWidth="1"/>
    <col min="5" max="5" width="21.140625" style="218" customWidth="1"/>
    <col min="6" max="6" width="18.7109375" style="218" customWidth="1"/>
    <col min="7" max="7" width="18.85546875" style="169" customWidth="1"/>
    <col min="8" max="8" width="19.85546875" style="169" customWidth="1"/>
    <col min="9" max="9" width="95.42578125" style="169" customWidth="1"/>
    <col min="10" max="256" width="9.140625" style="1"/>
    <col min="257" max="257" width="92.85546875" style="1" customWidth="1"/>
    <col min="258" max="258" width="14.85546875" style="1" customWidth="1"/>
    <col min="259" max="263" width="22.42578125" style="1" customWidth="1"/>
    <col min="264" max="264" width="19.85546875" style="1" customWidth="1"/>
    <col min="265" max="265" width="95.42578125" style="1" customWidth="1"/>
    <col min="266" max="512" width="9.140625" style="1"/>
    <col min="513" max="513" width="92.85546875" style="1" customWidth="1"/>
    <col min="514" max="514" width="14.85546875" style="1" customWidth="1"/>
    <col min="515" max="519" width="22.42578125" style="1" customWidth="1"/>
    <col min="520" max="520" width="19.85546875" style="1" customWidth="1"/>
    <col min="521" max="521" width="95.42578125" style="1" customWidth="1"/>
    <col min="522" max="768" width="9.140625" style="1"/>
    <col min="769" max="769" width="92.85546875" style="1" customWidth="1"/>
    <col min="770" max="770" width="14.85546875" style="1" customWidth="1"/>
    <col min="771" max="775" width="22.42578125" style="1" customWidth="1"/>
    <col min="776" max="776" width="19.85546875" style="1" customWidth="1"/>
    <col min="777" max="777" width="95.42578125" style="1" customWidth="1"/>
    <col min="778" max="1024" width="9.140625" style="1"/>
    <col min="1025" max="1025" width="92.85546875" style="1" customWidth="1"/>
    <col min="1026" max="1026" width="14.85546875" style="1" customWidth="1"/>
    <col min="1027" max="1031" width="22.42578125" style="1" customWidth="1"/>
    <col min="1032" max="1032" width="19.85546875" style="1" customWidth="1"/>
    <col min="1033" max="1033" width="95.42578125" style="1" customWidth="1"/>
    <col min="1034" max="1280" width="9.140625" style="1"/>
    <col min="1281" max="1281" width="92.85546875" style="1" customWidth="1"/>
    <col min="1282" max="1282" width="14.85546875" style="1" customWidth="1"/>
    <col min="1283" max="1287" width="22.42578125" style="1" customWidth="1"/>
    <col min="1288" max="1288" width="19.85546875" style="1" customWidth="1"/>
    <col min="1289" max="1289" width="95.42578125" style="1" customWidth="1"/>
    <col min="1290" max="1536" width="9.140625" style="1"/>
    <col min="1537" max="1537" width="92.85546875" style="1" customWidth="1"/>
    <col min="1538" max="1538" width="14.85546875" style="1" customWidth="1"/>
    <col min="1539" max="1543" width="22.42578125" style="1" customWidth="1"/>
    <col min="1544" max="1544" width="19.85546875" style="1" customWidth="1"/>
    <col min="1545" max="1545" width="95.42578125" style="1" customWidth="1"/>
    <col min="1546" max="1792" width="9.140625" style="1"/>
    <col min="1793" max="1793" width="92.85546875" style="1" customWidth="1"/>
    <col min="1794" max="1794" width="14.85546875" style="1" customWidth="1"/>
    <col min="1795" max="1799" width="22.42578125" style="1" customWidth="1"/>
    <col min="1800" max="1800" width="19.85546875" style="1" customWidth="1"/>
    <col min="1801" max="1801" width="95.42578125" style="1" customWidth="1"/>
    <col min="1802" max="2048" width="9.140625" style="1"/>
    <col min="2049" max="2049" width="92.85546875" style="1" customWidth="1"/>
    <col min="2050" max="2050" width="14.85546875" style="1" customWidth="1"/>
    <col min="2051" max="2055" width="22.42578125" style="1" customWidth="1"/>
    <col min="2056" max="2056" width="19.85546875" style="1" customWidth="1"/>
    <col min="2057" max="2057" width="95.42578125" style="1" customWidth="1"/>
    <col min="2058" max="2304" width="9.140625" style="1"/>
    <col min="2305" max="2305" width="92.85546875" style="1" customWidth="1"/>
    <col min="2306" max="2306" width="14.85546875" style="1" customWidth="1"/>
    <col min="2307" max="2311" width="22.42578125" style="1" customWidth="1"/>
    <col min="2312" max="2312" width="19.85546875" style="1" customWidth="1"/>
    <col min="2313" max="2313" width="95.42578125" style="1" customWidth="1"/>
    <col min="2314" max="2560" width="9.140625" style="1"/>
    <col min="2561" max="2561" width="92.85546875" style="1" customWidth="1"/>
    <col min="2562" max="2562" width="14.85546875" style="1" customWidth="1"/>
    <col min="2563" max="2567" width="22.42578125" style="1" customWidth="1"/>
    <col min="2568" max="2568" width="19.85546875" style="1" customWidth="1"/>
    <col min="2569" max="2569" width="95.42578125" style="1" customWidth="1"/>
    <col min="2570" max="2816" width="9.140625" style="1"/>
    <col min="2817" max="2817" width="92.85546875" style="1" customWidth="1"/>
    <col min="2818" max="2818" width="14.85546875" style="1" customWidth="1"/>
    <col min="2819" max="2823" width="22.42578125" style="1" customWidth="1"/>
    <col min="2824" max="2824" width="19.85546875" style="1" customWidth="1"/>
    <col min="2825" max="2825" width="95.42578125" style="1" customWidth="1"/>
    <col min="2826" max="3072" width="9.140625" style="1"/>
    <col min="3073" max="3073" width="92.85546875" style="1" customWidth="1"/>
    <col min="3074" max="3074" width="14.85546875" style="1" customWidth="1"/>
    <col min="3075" max="3079" width="22.42578125" style="1" customWidth="1"/>
    <col min="3080" max="3080" width="19.85546875" style="1" customWidth="1"/>
    <col min="3081" max="3081" width="95.42578125" style="1" customWidth="1"/>
    <col min="3082" max="3328" width="9.140625" style="1"/>
    <col min="3329" max="3329" width="92.85546875" style="1" customWidth="1"/>
    <col min="3330" max="3330" width="14.85546875" style="1" customWidth="1"/>
    <col min="3331" max="3335" width="22.42578125" style="1" customWidth="1"/>
    <col min="3336" max="3336" width="19.85546875" style="1" customWidth="1"/>
    <col min="3337" max="3337" width="95.42578125" style="1" customWidth="1"/>
    <col min="3338" max="3584" width="9.140625" style="1"/>
    <col min="3585" max="3585" width="92.85546875" style="1" customWidth="1"/>
    <col min="3586" max="3586" width="14.85546875" style="1" customWidth="1"/>
    <col min="3587" max="3591" width="22.42578125" style="1" customWidth="1"/>
    <col min="3592" max="3592" width="19.85546875" style="1" customWidth="1"/>
    <col min="3593" max="3593" width="95.42578125" style="1" customWidth="1"/>
    <col min="3594" max="3840" width="9.140625" style="1"/>
    <col min="3841" max="3841" width="92.85546875" style="1" customWidth="1"/>
    <col min="3842" max="3842" width="14.85546875" style="1" customWidth="1"/>
    <col min="3843" max="3847" width="22.42578125" style="1" customWidth="1"/>
    <col min="3848" max="3848" width="19.85546875" style="1" customWidth="1"/>
    <col min="3849" max="3849" width="95.42578125" style="1" customWidth="1"/>
    <col min="3850" max="4096" width="9.140625" style="1"/>
    <col min="4097" max="4097" width="92.85546875" style="1" customWidth="1"/>
    <col min="4098" max="4098" width="14.85546875" style="1" customWidth="1"/>
    <col min="4099" max="4103" width="22.42578125" style="1" customWidth="1"/>
    <col min="4104" max="4104" width="19.85546875" style="1" customWidth="1"/>
    <col min="4105" max="4105" width="95.42578125" style="1" customWidth="1"/>
    <col min="4106" max="4352" width="9.140625" style="1"/>
    <col min="4353" max="4353" width="92.85546875" style="1" customWidth="1"/>
    <col min="4354" max="4354" width="14.85546875" style="1" customWidth="1"/>
    <col min="4355" max="4359" width="22.42578125" style="1" customWidth="1"/>
    <col min="4360" max="4360" width="19.85546875" style="1" customWidth="1"/>
    <col min="4361" max="4361" width="95.42578125" style="1" customWidth="1"/>
    <col min="4362" max="4608" width="9.140625" style="1"/>
    <col min="4609" max="4609" width="92.85546875" style="1" customWidth="1"/>
    <col min="4610" max="4610" width="14.85546875" style="1" customWidth="1"/>
    <col min="4611" max="4615" width="22.42578125" style="1" customWidth="1"/>
    <col min="4616" max="4616" width="19.85546875" style="1" customWidth="1"/>
    <col min="4617" max="4617" width="95.42578125" style="1" customWidth="1"/>
    <col min="4618" max="4864" width="9.140625" style="1"/>
    <col min="4865" max="4865" width="92.85546875" style="1" customWidth="1"/>
    <col min="4866" max="4866" width="14.85546875" style="1" customWidth="1"/>
    <col min="4867" max="4871" width="22.42578125" style="1" customWidth="1"/>
    <col min="4872" max="4872" width="19.85546875" style="1" customWidth="1"/>
    <col min="4873" max="4873" width="95.42578125" style="1" customWidth="1"/>
    <col min="4874" max="5120" width="9.140625" style="1"/>
    <col min="5121" max="5121" width="92.85546875" style="1" customWidth="1"/>
    <col min="5122" max="5122" width="14.85546875" style="1" customWidth="1"/>
    <col min="5123" max="5127" width="22.42578125" style="1" customWidth="1"/>
    <col min="5128" max="5128" width="19.85546875" style="1" customWidth="1"/>
    <col min="5129" max="5129" width="95.42578125" style="1" customWidth="1"/>
    <col min="5130" max="5376" width="9.140625" style="1"/>
    <col min="5377" max="5377" width="92.85546875" style="1" customWidth="1"/>
    <col min="5378" max="5378" width="14.85546875" style="1" customWidth="1"/>
    <col min="5379" max="5383" width="22.42578125" style="1" customWidth="1"/>
    <col min="5384" max="5384" width="19.85546875" style="1" customWidth="1"/>
    <col min="5385" max="5385" width="95.42578125" style="1" customWidth="1"/>
    <col min="5386" max="5632" width="9.140625" style="1"/>
    <col min="5633" max="5633" width="92.85546875" style="1" customWidth="1"/>
    <col min="5634" max="5634" width="14.85546875" style="1" customWidth="1"/>
    <col min="5635" max="5639" width="22.42578125" style="1" customWidth="1"/>
    <col min="5640" max="5640" width="19.85546875" style="1" customWidth="1"/>
    <col min="5641" max="5641" width="95.42578125" style="1" customWidth="1"/>
    <col min="5642" max="5888" width="9.140625" style="1"/>
    <col min="5889" max="5889" width="92.85546875" style="1" customWidth="1"/>
    <col min="5890" max="5890" width="14.85546875" style="1" customWidth="1"/>
    <col min="5891" max="5895" width="22.42578125" style="1" customWidth="1"/>
    <col min="5896" max="5896" width="19.85546875" style="1" customWidth="1"/>
    <col min="5897" max="5897" width="95.42578125" style="1" customWidth="1"/>
    <col min="5898" max="6144" width="9.140625" style="1"/>
    <col min="6145" max="6145" width="92.85546875" style="1" customWidth="1"/>
    <col min="6146" max="6146" width="14.85546875" style="1" customWidth="1"/>
    <col min="6147" max="6151" width="22.42578125" style="1" customWidth="1"/>
    <col min="6152" max="6152" width="19.85546875" style="1" customWidth="1"/>
    <col min="6153" max="6153" width="95.42578125" style="1" customWidth="1"/>
    <col min="6154" max="6400" width="9.140625" style="1"/>
    <col min="6401" max="6401" width="92.85546875" style="1" customWidth="1"/>
    <col min="6402" max="6402" width="14.85546875" style="1" customWidth="1"/>
    <col min="6403" max="6407" width="22.42578125" style="1" customWidth="1"/>
    <col min="6408" max="6408" width="19.85546875" style="1" customWidth="1"/>
    <col min="6409" max="6409" width="95.42578125" style="1" customWidth="1"/>
    <col min="6410" max="6656" width="9.140625" style="1"/>
    <col min="6657" max="6657" width="92.85546875" style="1" customWidth="1"/>
    <col min="6658" max="6658" width="14.85546875" style="1" customWidth="1"/>
    <col min="6659" max="6663" width="22.42578125" style="1" customWidth="1"/>
    <col min="6664" max="6664" width="19.85546875" style="1" customWidth="1"/>
    <col min="6665" max="6665" width="95.42578125" style="1" customWidth="1"/>
    <col min="6666" max="6912" width="9.140625" style="1"/>
    <col min="6913" max="6913" width="92.85546875" style="1" customWidth="1"/>
    <col min="6914" max="6914" width="14.85546875" style="1" customWidth="1"/>
    <col min="6915" max="6919" width="22.42578125" style="1" customWidth="1"/>
    <col min="6920" max="6920" width="19.85546875" style="1" customWidth="1"/>
    <col min="6921" max="6921" width="95.42578125" style="1" customWidth="1"/>
    <col min="6922" max="7168" width="9.140625" style="1"/>
    <col min="7169" max="7169" width="92.85546875" style="1" customWidth="1"/>
    <col min="7170" max="7170" width="14.85546875" style="1" customWidth="1"/>
    <col min="7171" max="7175" width="22.42578125" style="1" customWidth="1"/>
    <col min="7176" max="7176" width="19.85546875" style="1" customWidth="1"/>
    <col min="7177" max="7177" width="95.42578125" style="1" customWidth="1"/>
    <col min="7178" max="7424" width="9.140625" style="1"/>
    <col min="7425" max="7425" width="92.85546875" style="1" customWidth="1"/>
    <col min="7426" max="7426" width="14.85546875" style="1" customWidth="1"/>
    <col min="7427" max="7431" width="22.42578125" style="1" customWidth="1"/>
    <col min="7432" max="7432" width="19.85546875" style="1" customWidth="1"/>
    <col min="7433" max="7433" width="95.42578125" style="1" customWidth="1"/>
    <col min="7434" max="7680" width="9.140625" style="1"/>
    <col min="7681" max="7681" width="92.85546875" style="1" customWidth="1"/>
    <col min="7682" max="7682" width="14.85546875" style="1" customWidth="1"/>
    <col min="7683" max="7687" width="22.42578125" style="1" customWidth="1"/>
    <col min="7688" max="7688" width="19.85546875" style="1" customWidth="1"/>
    <col min="7689" max="7689" width="95.42578125" style="1" customWidth="1"/>
    <col min="7690" max="7936" width="9.140625" style="1"/>
    <col min="7937" max="7937" width="92.85546875" style="1" customWidth="1"/>
    <col min="7938" max="7938" width="14.85546875" style="1" customWidth="1"/>
    <col min="7939" max="7943" width="22.42578125" style="1" customWidth="1"/>
    <col min="7944" max="7944" width="19.85546875" style="1" customWidth="1"/>
    <col min="7945" max="7945" width="95.42578125" style="1" customWidth="1"/>
    <col min="7946" max="8192" width="9.140625" style="1"/>
    <col min="8193" max="8193" width="92.85546875" style="1" customWidth="1"/>
    <col min="8194" max="8194" width="14.85546875" style="1" customWidth="1"/>
    <col min="8195" max="8199" width="22.42578125" style="1" customWidth="1"/>
    <col min="8200" max="8200" width="19.85546875" style="1" customWidth="1"/>
    <col min="8201" max="8201" width="95.42578125" style="1" customWidth="1"/>
    <col min="8202" max="8448" width="9.140625" style="1"/>
    <col min="8449" max="8449" width="92.85546875" style="1" customWidth="1"/>
    <col min="8450" max="8450" width="14.85546875" style="1" customWidth="1"/>
    <col min="8451" max="8455" width="22.42578125" style="1" customWidth="1"/>
    <col min="8456" max="8456" width="19.85546875" style="1" customWidth="1"/>
    <col min="8457" max="8457" width="95.42578125" style="1" customWidth="1"/>
    <col min="8458" max="8704" width="9.140625" style="1"/>
    <col min="8705" max="8705" width="92.85546875" style="1" customWidth="1"/>
    <col min="8706" max="8706" width="14.85546875" style="1" customWidth="1"/>
    <col min="8707" max="8711" width="22.42578125" style="1" customWidth="1"/>
    <col min="8712" max="8712" width="19.85546875" style="1" customWidth="1"/>
    <col min="8713" max="8713" width="95.42578125" style="1" customWidth="1"/>
    <col min="8714" max="8960" width="9.140625" style="1"/>
    <col min="8961" max="8961" width="92.85546875" style="1" customWidth="1"/>
    <col min="8962" max="8962" width="14.85546875" style="1" customWidth="1"/>
    <col min="8963" max="8967" width="22.42578125" style="1" customWidth="1"/>
    <col min="8968" max="8968" width="19.85546875" style="1" customWidth="1"/>
    <col min="8969" max="8969" width="95.42578125" style="1" customWidth="1"/>
    <col min="8970" max="9216" width="9.140625" style="1"/>
    <col min="9217" max="9217" width="92.85546875" style="1" customWidth="1"/>
    <col min="9218" max="9218" width="14.85546875" style="1" customWidth="1"/>
    <col min="9219" max="9223" width="22.42578125" style="1" customWidth="1"/>
    <col min="9224" max="9224" width="19.85546875" style="1" customWidth="1"/>
    <col min="9225" max="9225" width="95.42578125" style="1" customWidth="1"/>
    <col min="9226" max="9472" width="9.140625" style="1"/>
    <col min="9473" max="9473" width="92.85546875" style="1" customWidth="1"/>
    <col min="9474" max="9474" width="14.85546875" style="1" customWidth="1"/>
    <col min="9475" max="9479" width="22.42578125" style="1" customWidth="1"/>
    <col min="9480" max="9480" width="19.85546875" style="1" customWidth="1"/>
    <col min="9481" max="9481" width="95.42578125" style="1" customWidth="1"/>
    <col min="9482" max="9728" width="9.140625" style="1"/>
    <col min="9729" max="9729" width="92.85546875" style="1" customWidth="1"/>
    <col min="9730" max="9730" width="14.85546875" style="1" customWidth="1"/>
    <col min="9731" max="9735" width="22.42578125" style="1" customWidth="1"/>
    <col min="9736" max="9736" width="19.85546875" style="1" customWidth="1"/>
    <col min="9737" max="9737" width="95.42578125" style="1" customWidth="1"/>
    <col min="9738" max="9984" width="9.140625" style="1"/>
    <col min="9985" max="9985" width="92.85546875" style="1" customWidth="1"/>
    <col min="9986" max="9986" width="14.85546875" style="1" customWidth="1"/>
    <col min="9987" max="9991" width="22.42578125" style="1" customWidth="1"/>
    <col min="9992" max="9992" width="19.85546875" style="1" customWidth="1"/>
    <col min="9993" max="9993" width="95.42578125" style="1" customWidth="1"/>
    <col min="9994" max="10240" width="9.140625" style="1"/>
    <col min="10241" max="10241" width="92.85546875" style="1" customWidth="1"/>
    <col min="10242" max="10242" width="14.85546875" style="1" customWidth="1"/>
    <col min="10243" max="10247" width="22.42578125" style="1" customWidth="1"/>
    <col min="10248" max="10248" width="19.85546875" style="1" customWidth="1"/>
    <col min="10249" max="10249" width="95.42578125" style="1" customWidth="1"/>
    <col min="10250" max="10496" width="9.140625" style="1"/>
    <col min="10497" max="10497" width="92.85546875" style="1" customWidth="1"/>
    <col min="10498" max="10498" width="14.85546875" style="1" customWidth="1"/>
    <col min="10499" max="10503" width="22.42578125" style="1" customWidth="1"/>
    <col min="10504" max="10504" width="19.85546875" style="1" customWidth="1"/>
    <col min="10505" max="10505" width="95.42578125" style="1" customWidth="1"/>
    <col min="10506" max="10752" width="9.140625" style="1"/>
    <col min="10753" max="10753" width="92.85546875" style="1" customWidth="1"/>
    <col min="10754" max="10754" width="14.85546875" style="1" customWidth="1"/>
    <col min="10755" max="10759" width="22.42578125" style="1" customWidth="1"/>
    <col min="10760" max="10760" width="19.85546875" style="1" customWidth="1"/>
    <col min="10761" max="10761" width="95.42578125" style="1" customWidth="1"/>
    <col min="10762" max="11008" width="9.140625" style="1"/>
    <col min="11009" max="11009" width="92.85546875" style="1" customWidth="1"/>
    <col min="11010" max="11010" width="14.85546875" style="1" customWidth="1"/>
    <col min="11011" max="11015" width="22.42578125" style="1" customWidth="1"/>
    <col min="11016" max="11016" width="19.85546875" style="1" customWidth="1"/>
    <col min="11017" max="11017" width="95.42578125" style="1" customWidth="1"/>
    <col min="11018" max="11264" width="9.140625" style="1"/>
    <col min="11265" max="11265" width="92.85546875" style="1" customWidth="1"/>
    <col min="11266" max="11266" width="14.85546875" style="1" customWidth="1"/>
    <col min="11267" max="11271" width="22.42578125" style="1" customWidth="1"/>
    <col min="11272" max="11272" width="19.85546875" style="1" customWidth="1"/>
    <col min="11273" max="11273" width="95.42578125" style="1" customWidth="1"/>
    <col min="11274" max="11520" width="9.140625" style="1"/>
    <col min="11521" max="11521" width="92.85546875" style="1" customWidth="1"/>
    <col min="11522" max="11522" width="14.85546875" style="1" customWidth="1"/>
    <col min="11523" max="11527" width="22.42578125" style="1" customWidth="1"/>
    <col min="11528" max="11528" width="19.85546875" style="1" customWidth="1"/>
    <col min="11529" max="11529" width="95.42578125" style="1" customWidth="1"/>
    <col min="11530" max="11776" width="9.140625" style="1"/>
    <col min="11777" max="11777" width="92.85546875" style="1" customWidth="1"/>
    <col min="11778" max="11778" width="14.85546875" style="1" customWidth="1"/>
    <col min="11779" max="11783" width="22.42578125" style="1" customWidth="1"/>
    <col min="11784" max="11784" width="19.85546875" style="1" customWidth="1"/>
    <col min="11785" max="11785" width="95.42578125" style="1" customWidth="1"/>
    <col min="11786" max="12032" width="9.140625" style="1"/>
    <col min="12033" max="12033" width="92.85546875" style="1" customWidth="1"/>
    <col min="12034" max="12034" width="14.85546875" style="1" customWidth="1"/>
    <col min="12035" max="12039" width="22.42578125" style="1" customWidth="1"/>
    <col min="12040" max="12040" width="19.85546875" style="1" customWidth="1"/>
    <col min="12041" max="12041" width="95.42578125" style="1" customWidth="1"/>
    <col min="12042" max="12288" width="9.140625" style="1"/>
    <col min="12289" max="12289" width="92.85546875" style="1" customWidth="1"/>
    <col min="12290" max="12290" width="14.85546875" style="1" customWidth="1"/>
    <col min="12291" max="12295" width="22.42578125" style="1" customWidth="1"/>
    <col min="12296" max="12296" width="19.85546875" style="1" customWidth="1"/>
    <col min="12297" max="12297" width="95.42578125" style="1" customWidth="1"/>
    <col min="12298" max="12544" width="9.140625" style="1"/>
    <col min="12545" max="12545" width="92.85546875" style="1" customWidth="1"/>
    <col min="12546" max="12546" width="14.85546875" style="1" customWidth="1"/>
    <col min="12547" max="12551" width="22.42578125" style="1" customWidth="1"/>
    <col min="12552" max="12552" width="19.85546875" style="1" customWidth="1"/>
    <col min="12553" max="12553" width="95.42578125" style="1" customWidth="1"/>
    <col min="12554" max="12800" width="9.140625" style="1"/>
    <col min="12801" max="12801" width="92.85546875" style="1" customWidth="1"/>
    <col min="12802" max="12802" width="14.85546875" style="1" customWidth="1"/>
    <col min="12803" max="12807" width="22.42578125" style="1" customWidth="1"/>
    <col min="12808" max="12808" width="19.85546875" style="1" customWidth="1"/>
    <col min="12809" max="12809" width="95.42578125" style="1" customWidth="1"/>
    <col min="12810" max="13056" width="9.140625" style="1"/>
    <col min="13057" max="13057" width="92.85546875" style="1" customWidth="1"/>
    <col min="13058" max="13058" width="14.85546875" style="1" customWidth="1"/>
    <col min="13059" max="13063" width="22.42578125" style="1" customWidth="1"/>
    <col min="13064" max="13064" width="19.85546875" style="1" customWidth="1"/>
    <col min="13065" max="13065" width="95.42578125" style="1" customWidth="1"/>
    <col min="13066" max="13312" width="9.140625" style="1"/>
    <col min="13313" max="13313" width="92.85546875" style="1" customWidth="1"/>
    <col min="13314" max="13314" width="14.85546875" style="1" customWidth="1"/>
    <col min="13315" max="13319" width="22.42578125" style="1" customWidth="1"/>
    <col min="13320" max="13320" width="19.85546875" style="1" customWidth="1"/>
    <col min="13321" max="13321" width="95.42578125" style="1" customWidth="1"/>
    <col min="13322" max="13568" width="9.140625" style="1"/>
    <col min="13569" max="13569" width="92.85546875" style="1" customWidth="1"/>
    <col min="13570" max="13570" width="14.85546875" style="1" customWidth="1"/>
    <col min="13571" max="13575" width="22.42578125" style="1" customWidth="1"/>
    <col min="13576" max="13576" width="19.85546875" style="1" customWidth="1"/>
    <col min="13577" max="13577" width="95.42578125" style="1" customWidth="1"/>
    <col min="13578" max="13824" width="9.140625" style="1"/>
    <col min="13825" max="13825" width="92.85546875" style="1" customWidth="1"/>
    <col min="13826" max="13826" width="14.85546875" style="1" customWidth="1"/>
    <col min="13827" max="13831" width="22.42578125" style="1" customWidth="1"/>
    <col min="13832" max="13832" width="19.85546875" style="1" customWidth="1"/>
    <col min="13833" max="13833" width="95.42578125" style="1" customWidth="1"/>
    <col min="13834" max="14080" width="9.140625" style="1"/>
    <col min="14081" max="14081" width="92.85546875" style="1" customWidth="1"/>
    <col min="14082" max="14082" width="14.85546875" style="1" customWidth="1"/>
    <col min="14083" max="14087" width="22.42578125" style="1" customWidth="1"/>
    <col min="14088" max="14088" width="19.85546875" style="1" customWidth="1"/>
    <col min="14089" max="14089" width="95.42578125" style="1" customWidth="1"/>
    <col min="14090" max="14336" width="9.140625" style="1"/>
    <col min="14337" max="14337" width="92.85546875" style="1" customWidth="1"/>
    <col min="14338" max="14338" width="14.85546875" style="1" customWidth="1"/>
    <col min="14339" max="14343" width="22.42578125" style="1" customWidth="1"/>
    <col min="14344" max="14344" width="19.85546875" style="1" customWidth="1"/>
    <col min="14345" max="14345" width="95.42578125" style="1" customWidth="1"/>
    <col min="14346" max="14592" width="9.140625" style="1"/>
    <col min="14593" max="14593" width="92.85546875" style="1" customWidth="1"/>
    <col min="14594" max="14594" width="14.85546875" style="1" customWidth="1"/>
    <col min="14595" max="14599" width="22.42578125" style="1" customWidth="1"/>
    <col min="14600" max="14600" width="19.85546875" style="1" customWidth="1"/>
    <col min="14601" max="14601" width="95.42578125" style="1" customWidth="1"/>
    <col min="14602" max="14848" width="9.140625" style="1"/>
    <col min="14849" max="14849" width="92.85546875" style="1" customWidth="1"/>
    <col min="14850" max="14850" width="14.85546875" style="1" customWidth="1"/>
    <col min="14851" max="14855" width="22.42578125" style="1" customWidth="1"/>
    <col min="14856" max="14856" width="19.85546875" style="1" customWidth="1"/>
    <col min="14857" max="14857" width="95.42578125" style="1" customWidth="1"/>
    <col min="14858" max="15104" width="9.140625" style="1"/>
    <col min="15105" max="15105" width="92.85546875" style="1" customWidth="1"/>
    <col min="15106" max="15106" width="14.85546875" style="1" customWidth="1"/>
    <col min="15107" max="15111" width="22.42578125" style="1" customWidth="1"/>
    <col min="15112" max="15112" width="19.85546875" style="1" customWidth="1"/>
    <col min="15113" max="15113" width="95.42578125" style="1" customWidth="1"/>
    <col min="15114" max="15360" width="9.140625" style="1"/>
    <col min="15361" max="15361" width="92.85546875" style="1" customWidth="1"/>
    <col min="15362" max="15362" width="14.85546875" style="1" customWidth="1"/>
    <col min="15363" max="15367" width="22.42578125" style="1" customWidth="1"/>
    <col min="15368" max="15368" width="19.85546875" style="1" customWidth="1"/>
    <col min="15369" max="15369" width="95.42578125" style="1" customWidth="1"/>
    <col min="15370" max="15616" width="9.140625" style="1"/>
    <col min="15617" max="15617" width="92.85546875" style="1" customWidth="1"/>
    <col min="15618" max="15618" width="14.85546875" style="1" customWidth="1"/>
    <col min="15619" max="15623" width="22.42578125" style="1" customWidth="1"/>
    <col min="15624" max="15624" width="19.85546875" style="1" customWidth="1"/>
    <col min="15625" max="15625" width="95.42578125" style="1" customWidth="1"/>
    <col min="15626" max="15872" width="9.140625" style="1"/>
    <col min="15873" max="15873" width="92.85546875" style="1" customWidth="1"/>
    <col min="15874" max="15874" width="14.85546875" style="1" customWidth="1"/>
    <col min="15875" max="15879" width="22.42578125" style="1" customWidth="1"/>
    <col min="15880" max="15880" width="19.85546875" style="1" customWidth="1"/>
    <col min="15881" max="15881" width="95.42578125" style="1" customWidth="1"/>
    <col min="15882" max="16128" width="9.140625" style="1"/>
    <col min="16129" max="16129" width="92.85546875" style="1" customWidth="1"/>
    <col min="16130" max="16130" width="14.85546875" style="1" customWidth="1"/>
    <col min="16131" max="16135" width="22.42578125" style="1" customWidth="1"/>
    <col min="16136" max="16136" width="19.85546875" style="1" customWidth="1"/>
    <col min="16137" max="16137" width="95.42578125" style="1" customWidth="1"/>
    <col min="16138" max="16384" width="9.140625" style="1"/>
  </cols>
  <sheetData>
    <row r="1" spans="1:9" outlineLevel="1" x14ac:dyDescent="0.25">
      <c r="A1" s="168" t="s">
        <v>238</v>
      </c>
      <c r="B1" s="28"/>
      <c r="C1" s="28"/>
      <c r="D1" s="28"/>
      <c r="E1" s="1"/>
      <c r="F1" s="257" t="s">
        <v>239</v>
      </c>
      <c r="G1" s="257"/>
      <c r="H1" s="257"/>
      <c r="I1" s="102"/>
    </row>
    <row r="2" spans="1:9" outlineLevel="1" x14ac:dyDescent="0.25">
      <c r="A2" s="1" t="s">
        <v>437</v>
      </c>
      <c r="E2" s="1"/>
      <c r="F2" s="257" t="s">
        <v>240</v>
      </c>
      <c r="G2" s="257"/>
      <c r="H2" s="257"/>
      <c r="I2" s="102"/>
    </row>
    <row r="3" spans="1:9" x14ac:dyDescent="0.25">
      <c r="A3" s="172" t="s">
        <v>241</v>
      </c>
      <c r="E3" s="221"/>
      <c r="F3" s="257" t="s">
        <v>242</v>
      </c>
      <c r="G3" s="257"/>
      <c r="H3" s="257"/>
    </row>
    <row r="4" spans="1:9" x14ac:dyDescent="0.25">
      <c r="A4" s="172" t="s">
        <v>243</v>
      </c>
      <c r="E4" s="221"/>
      <c r="F4" s="257" t="s">
        <v>244</v>
      </c>
      <c r="G4" s="257"/>
      <c r="H4" s="257"/>
    </row>
    <row r="5" spans="1:9" x14ac:dyDescent="0.25">
      <c r="A5" s="172" t="s">
        <v>438</v>
      </c>
      <c r="E5" s="221"/>
      <c r="F5" s="221" t="s">
        <v>245</v>
      </c>
      <c r="G5" s="172"/>
      <c r="H5" s="172"/>
    </row>
    <row r="6" spans="1:9" x14ac:dyDescent="0.25">
      <c r="A6" s="169"/>
      <c r="E6" s="221"/>
      <c r="F6" s="221"/>
      <c r="G6" s="172"/>
      <c r="H6" s="172"/>
    </row>
    <row r="7" spans="1:9" x14ac:dyDescent="0.25">
      <c r="A7" s="169"/>
      <c r="E7" s="221"/>
      <c r="F7" s="221"/>
      <c r="G7" s="172"/>
      <c r="H7" s="172"/>
    </row>
    <row r="8" spans="1:9" x14ac:dyDescent="0.25">
      <c r="A8" s="169"/>
      <c r="E8" s="221"/>
      <c r="F8" s="221"/>
      <c r="G8" s="172"/>
      <c r="H8" s="172"/>
    </row>
    <row r="9" spans="1:9" x14ac:dyDescent="0.25">
      <c r="E9" s="221"/>
      <c r="F9" s="221"/>
      <c r="G9" s="172"/>
      <c r="H9" s="172"/>
    </row>
    <row r="10" spans="1:9" x14ac:dyDescent="0.25">
      <c r="A10" s="168"/>
      <c r="E10" s="221"/>
      <c r="F10" s="221"/>
      <c r="G10" s="172"/>
      <c r="H10" s="172"/>
    </row>
    <row r="11" spans="1:9" x14ac:dyDescent="0.25">
      <c r="B11" s="226"/>
      <c r="C11" s="226"/>
      <c r="D11" s="226"/>
      <c r="F11" s="88"/>
    </row>
    <row r="12" spans="1:9" x14ac:dyDescent="0.25">
      <c r="A12" s="46"/>
      <c r="B12" s="250"/>
      <c r="C12" s="250"/>
      <c r="D12" s="250"/>
      <c r="E12" s="250"/>
      <c r="F12" s="89"/>
      <c r="G12" s="47" t="s">
        <v>246</v>
      </c>
      <c r="H12" s="170" t="s">
        <v>247</v>
      </c>
    </row>
    <row r="13" spans="1:9" ht="18.75" customHeight="1" x14ac:dyDescent="0.25">
      <c r="A13" s="48" t="s">
        <v>248</v>
      </c>
      <c r="B13" s="250" t="s">
        <v>249</v>
      </c>
      <c r="C13" s="250"/>
      <c r="D13" s="250"/>
      <c r="E13" s="250"/>
      <c r="F13" s="90"/>
      <c r="G13" s="30" t="s">
        <v>250</v>
      </c>
      <c r="H13" s="170">
        <v>34328815</v>
      </c>
    </row>
    <row r="14" spans="1:9" ht="18.75" customHeight="1" x14ac:dyDescent="0.25">
      <c r="A14" s="46" t="s">
        <v>251</v>
      </c>
      <c r="B14" s="250" t="s">
        <v>252</v>
      </c>
      <c r="C14" s="250"/>
      <c r="D14" s="250"/>
      <c r="E14" s="250"/>
      <c r="F14" s="89"/>
      <c r="G14" s="30" t="s">
        <v>253</v>
      </c>
      <c r="H14" s="170">
        <v>150</v>
      </c>
    </row>
    <row r="15" spans="1:9" x14ac:dyDescent="0.25">
      <c r="A15" s="46" t="s">
        <v>254</v>
      </c>
      <c r="B15" s="250" t="s">
        <v>255</v>
      </c>
      <c r="C15" s="250"/>
      <c r="D15" s="250"/>
      <c r="E15" s="250"/>
      <c r="F15" s="89"/>
      <c r="G15" s="30" t="s">
        <v>256</v>
      </c>
      <c r="H15" s="170">
        <v>5910136600</v>
      </c>
    </row>
    <row r="16" spans="1:9" x14ac:dyDescent="0.25">
      <c r="A16" s="48" t="s">
        <v>257</v>
      </c>
      <c r="B16" s="250"/>
      <c r="C16" s="250"/>
      <c r="D16" s="250"/>
      <c r="E16" s="250"/>
      <c r="F16" s="90"/>
      <c r="G16" s="30" t="s">
        <v>258</v>
      </c>
      <c r="H16" s="170"/>
    </row>
    <row r="17" spans="1:8" x14ac:dyDescent="0.25">
      <c r="A17" s="48" t="s">
        <v>259</v>
      </c>
      <c r="B17" s="250"/>
      <c r="C17" s="250"/>
      <c r="D17" s="250"/>
      <c r="E17" s="250"/>
      <c r="F17" s="90"/>
      <c r="G17" s="30" t="s">
        <v>260</v>
      </c>
      <c r="H17" s="170"/>
    </row>
    <row r="18" spans="1:8" ht="18.75" customHeight="1" x14ac:dyDescent="0.25">
      <c r="A18" s="48" t="s">
        <v>261</v>
      </c>
      <c r="B18" s="250" t="s">
        <v>262</v>
      </c>
      <c r="C18" s="250"/>
      <c r="D18" s="250"/>
      <c r="E18" s="250"/>
      <c r="F18" s="90"/>
      <c r="G18" s="30" t="s">
        <v>263</v>
      </c>
      <c r="H18" s="170" t="s">
        <v>319</v>
      </c>
    </row>
    <row r="19" spans="1:8" ht="18.75" customHeight="1" x14ac:dyDescent="0.25">
      <c r="A19" s="48" t="s">
        <v>264</v>
      </c>
      <c r="B19" s="250"/>
      <c r="C19" s="250"/>
      <c r="D19" s="250"/>
      <c r="E19" s="250"/>
      <c r="F19" s="250" t="s">
        <v>265</v>
      </c>
      <c r="G19" s="251"/>
      <c r="H19" s="49"/>
    </row>
    <row r="20" spans="1:8" ht="18.75" customHeight="1" x14ac:dyDescent="0.25">
      <c r="A20" s="48" t="s">
        <v>266</v>
      </c>
      <c r="B20" s="250" t="s">
        <v>267</v>
      </c>
      <c r="C20" s="250"/>
      <c r="D20" s="250"/>
      <c r="E20" s="250"/>
      <c r="F20" s="250" t="s">
        <v>268</v>
      </c>
      <c r="G20" s="255"/>
      <c r="H20" s="49"/>
    </row>
    <row r="21" spans="1:8" x14ac:dyDescent="0.25">
      <c r="A21" s="48" t="s">
        <v>269</v>
      </c>
      <c r="B21" s="250">
        <v>82</v>
      </c>
      <c r="C21" s="250"/>
      <c r="D21" s="250"/>
      <c r="E21" s="250"/>
      <c r="F21" s="50"/>
      <c r="G21" s="50"/>
      <c r="H21" s="50"/>
    </row>
    <row r="22" spans="1:8" ht="18.75" customHeight="1" x14ac:dyDescent="0.25">
      <c r="A22" s="46" t="s">
        <v>270</v>
      </c>
      <c r="B22" s="250" t="s">
        <v>320</v>
      </c>
      <c r="C22" s="250"/>
      <c r="D22" s="250"/>
      <c r="E22" s="250"/>
      <c r="F22" s="51"/>
      <c r="G22" s="51"/>
      <c r="H22" s="51"/>
    </row>
    <row r="23" spans="1:8" x14ac:dyDescent="0.25">
      <c r="A23" s="48" t="s">
        <v>271</v>
      </c>
      <c r="B23" s="250" t="s">
        <v>321</v>
      </c>
      <c r="C23" s="250"/>
      <c r="D23" s="250"/>
      <c r="E23" s="250"/>
      <c r="F23" s="50"/>
      <c r="G23" s="50"/>
      <c r="H23" s="50"/>
    </row>
    <row r="24" spans="1:8" ht="18.75" customHeight="1" x14ac:dyDescent="0.25">
      <c r="A24" s="46" t="s">
        <v>272</v>
      </c>
      <c r="B24" s="250" t="s">
        <v>318</v>
      </c>
      <c r="C24" s="250"/>
      <c r="D24" s="250"/>
      <c r="E24" s="250"/>
      <c r="F24" s="51"/>
      <c r="G24" s="51"/>
      <c r="H24" s="51"/>
    </row>
    <row r="25" spans="1:8" ht="18.75" customHeight="1" x14ac:dyDescent="0.25">
      <c r="B25" s="14"/>
      <c r="C25" s="14"/>
      <c r="D25" s="14"/>
      <c r="E25" s="14"/>
      <c r="F25" s="1"/>
      <c r="G25" s="1"/>
      <c r="H25" s="1"/>
    </row>
    <row r="26" spans="1:8" ht="18.75" customHeight="1" x14ac:dyDescent="0.25">
      <c r="B26" s="14"/>
      <c r="C26" s="14"/>
      <c r="D26" s="14"/>
      <c r="E26" s="14"/>
      <c r="F26" s="1"/>
      <c r="G26" s="1"/>
      <c r="H26" s="1"/>
    </row>
    <row r="27" spans="1:8" ht="18.75" customHeight="1" x14ac:dyDescent="0.25">
      <c r="B27" s="14"/>
      <c r="C27" s="14"/>
      <c r="D27" s="14"/>
      <c r="E27" s="14"/>
      <c r="F27" s="1"/>
      <c r="G27" s="1"/>
      <c r="H27" s="1"/>
    </row>
    <row r="28" spans="1:8" ht="18.75" customHeight="1" x14ac:dyDescent="0.25">
      <c r="B28" s="14"/>
      <c r="C28" s="14"/>
      <c r="D28" s="14"/>
      <c r="E28" s="14"/>
      <c r="F28" s="1"/>
      <c r="G28" s="1"/>
      <c r="H28" s="1"/>
    </row>
    <row r="29" spans="1:8" ht="18.75" customHeight="1" x14ac:dyDescent="0.25">
      <c r="B29" s="14"/>
      <c r="C29" s="14"/>
      <c r="D29" s="14"/>
      <c r="E29" s="14"/>
      <c r="F29" s="1"/>
      <c r="G29" s="1"/>
      <c r="H29" s="1"/>
    </row>
    <row r="30" spans="1:8" ht="18.75" customHeight="1" x14ac:dyDescent="0.25">
      <c r="B30" s="14"/>
      <c r="C30" s="14"/>
      <c r="D30" s="14"/>
      <c r="E30" s="14"/>
      <c r="F30" s="1"/>
      <c r="G30" s="1"/>
      <c r="H30" s="1"/>
    </row>
    <row r="31" spans="1:8" x14ac:dyDescent="0.25">
      <c r="A31" s="172"/>
      <c r="B31" s="1"/>
      <c r="C31" s="1"/>
      <c r="D31" s="1"/>
      <c r="E31" s="1"/>
      <c r="F31" s="1"/>
      <c r="G31" s="1"/>
      <c r="H31" s="1"/>
    </row>
    <row r="32" spans="1:8" x14ac:dyDescent="0.25">
      <c r="A32" s="256" t="s">
        <v>273</v>
      </c>
      <c r="B32" s="256"/>
      <c r="C32" s="256"/>
      <c r="D32" s="256"/>
      <c r="E32" s="256"/>
      <c r="F32" s="256"/>
      <c r="G32" s="256"/>
      <c r="H32" s="256"/>
    </row>
    <row r="33" spans="1:8" x14ac:dyDescent="0.25">
      <c r="A33" s="256" t="s">
        <v>274</v>
      </c>
      <c r="B33" s="256"/>
      <c r="C33" s="256"/>
      <c r="D33" s="256"/>
      <c r="E33" s="256"/>
      <c r="F33" s="256"/>
      <c r="G33" s="256"/>
      <c r="H33" s="256"/>
    </row>
    <row r="34" spans="1:8" x14ac:dyDescent="0.25">
      <c r="A34" s="256" t="s">
        <v>439</v>
      </c>
      <c r="B34" s="256"/>
      <c r="C34" s="256"/>
      <c r="D34" s="256"/>
      <c r="E34" s="256"/>
      <c r="F34" s="256"/>
      <c r="G34" s="256"/>
      <c r="H34" s="256"/>
    </row>
    <row r="35" spans="1:8" x14ac:dyDescent="0.25">
      <c r="A35" s="248"/>
      <c r="B35" s="248"/>
      <c r="C35" s="248"/>
      <c r="D35" s="248"/>
      <c r="E35" s="248"/>
      <c r="F35" s="248"/>
      <c r="G35" s="248"/>
      <c r="H35" s="248"/>
    </row>
    <row r="36" spans="1:8" x14ac:dyDescent="0.25">
      <c r="A36" s="169"/>
    </row>
    <row r="37" spans="1:8" x14ac:dyDescent="0.25">
      <c r="A37" s="168"/>
      <c r="B37" s="217"/>
      <c r="C37" s="217"/>
      <c r="D37" s="217"/>
      <c r="E37" s="217"/>
      <c r="F37" s="217"/>
      <c r="G37" s="168"/>
      <c r="H37" s="168"/>
    </row>
    <row r="38" spans="1:8" x14ac:dyDescent="0.25">
      <c r="A38" s="256" t="s">
        <v>275</v>
      </c>
      <c r="B38" s="256"/>
      <c r="C38" s="256"/>
      <c r="D38" s="256"/>
      <c r="E38" s="256"/>
      <c r="F38" s="256"/>
      <c r="G38" s="256"/>
      <c r="H38" s="256"/>
    </row>
    <row r="39" spans="1:8" x14ac:dyDescent="0.25">
      <c r="A39" s="168"/>
      <c r="B39" s="217"/>
      <c r="C39" s="217"/>
      <c r="D39" s="217"/>
      <c r="E39" s="217"/>
      <c r="F39" s="217"/>
      <c r="G39" s="168"/>
      <c r="H39" s="168"/>
    </row>
    <row r="40" spans="1:8" x14ac:dyDescent="0.25">
      <c r="B40" s="223"/>
      <c r="C40" s="223"/>
      <c r="D40" s="223"/>
      <c r="E40" s="223"/>
      <c r="F40" s="223"/>
      <c r="G40" s="173"/>
      <c r="H40" s="173"/>
    </row>
    <row r="41" spans="1:8" ht="18.75" customHeight="1" x14ac:dyDescent="0.25">
      <c r="A41" s="258" t="s">
        <v>97</v>
      </c>
      <c r="B41" s="259" t="s">
        <v>4</v>
      </c>
      <c r="C41" s="259" t="s">
        <v>5</v>
      </c>
      <c r="D41" s="259"/>
      <c r="E41" s="260" t="s">
        <v>442</v>
      </c>
      <c r="F41" s="260"/>
      <c r="G41" s="260"/>
      <c r="H41" s="260"/>
    </row>
    <row r="42" spans="1:8" ht="37.5" x14ac:dyDescent="0.25">
      <c r="A42" s="258"/>
      <c r="B42" s="259"/>
      <c r="C42" s="220" t="s">
        <v>440</v>
      </c>
      <c r="D42" s="220" t="s">
        <v>441</v>
      </c>
      <c r="E42" s="4" t="s">
        <v>99</v>
      </c>
      <c r="F42" s="4" t="s">
        <v>100</v>
      </c>
      <c r="G42" s="4" t="s">
        <v>7</v>
      </c>
      <c r="H42" s="4" t="s">
        <v>8</v>
      </c>
    </row>
    <row r="43" spans="1:8" x14ac:dyDescent="0.25">
      <c r="A43" s="170">
        <v>1</v>
      </c>
      <c r="B43" s="220">
        <v>2</v>
      </c>
      <c r="C43" s="219">
        <v>3</v>
      </c>
      <c r="D43" s="220">
        <v>4</v>
      </c>
      <c r="E43" s="219">
        <v>5</v>
      </c>
      <c r="F43" s="220">
        <v>6</v>
      </c>
      <c r="G43" s="170">
        <v>7</v>
      </c>
      <c r="H43" s="171">
        <v>8</v>
      </c>
    </row>
    <row r="44" spans="1:8" x14ac:dyDescent="0.25">
      <c r="A44" s="262" t="s">
        <v>2</v>
      </c>
      <c r="B44" s="262"/>
      <c r="C44" s="262"/>
      <c r="D44" s="262"/>
      <c r="E44" s="262"/>
      <c r="F44" s="262"/>
      <c r="G44" s="262"/>
      <c r="H44" s="262"/>
    </row>
    <row r="45" spans="1:8" x14ac:dyDescent="0.25">
      <c r="A45" s="11" t="s">
        <v>276</v>
      </c>
      <c r="B45" s="220">
        <f>'[1]1. Фін результат'!B9</f>
        <v>1000</v>
      </c>
      <c r="C45" s="70">
        <f>Фін.результат!C9</f>
        <v>23257</v>
      </c>
      <c r="D45" s="70">
        <f>Фін.результат!D9</f>
        <v>29168</v>
      </c>
      <c r="E45" s="70">
        <f>Фін.результат!E9</f>
        <v>27200</v>
      </c>
      <c r="F45" s="70">
        <f>D45</f>
        <v>29168</v>
      </c>
      <c r="G45" s="70">
        <f>F45-E45</f>
        <v>1968</v>
      </c>
      <c r="H45" s="70">
        <f>F45/E45*100</f>
        <v>107.23529411764704</v>
      </c>
    </row>
    <row r="46" spans="1:8" x14ac:dyDescent="0.25">
      <c r="A46" s="11" t="s">
        <v>277</v>
      </c>
      <c r="B46" s="220">
        <f>'[1]1. Фін результат'!B10</f>
        <v>1010</v>
      </c>
      <c r="C46" s="70">
        <f>Фін.результат!C10</f>
        <v>20990</v>
      </c>
      <c r="D46" s="70">
        <f>Фін.результат!D10</f>
        <v>25141</v>
      </c>
      <c r="E46" s="70">
        <f>Фін.результат!E10</f>
        <v>23360</v>
      </c>
      <c r="F46" s="70">
        <f>D46</f>
        <v>25141</v>
      </c>
      <c r="G46" s="70">
        <f t="shared" ref="G46:G58" si="0">F46-E46</f>
        <v>1781</v>
      </c>
      <c r="H46" s="70">
        <f t="shared" ref="H46:H59" si="1">F46/E46*100</f>
        <v>107.62414383561645</v>
      </c>
    </row>
    <row r="47" spans="1:8" x14ac:dyDescent="0.25">
      <c r="A47" s="52" t="s">
        <v>278</v>
      </c>
      <c r="B47" s="216">
        <f>'[1]1. Фін результат'!B19</f>
        <v>1020</v>
      </c>
      <c r="C47" s="232">
        <f>C45-C46</f>
        <v>2267</v>
      </c>
      <c r="D47" s="70">
        <f>Фін.результат!D19</f>
        <v>4027</v>
      </c>
      <c r="E47" s="232">
        <f>Фін.результат!E19</f>
        <v>3840</v>
      </c>
      <c r="F47" s="70">
        <f t="shared" ref="F47:F59" si="2">D47</f>
        <v>4027</v>
      </c>
      <c r="G47" s="70">
        <f t="shared" si="0"/>
        <v>187</v>
      </c>
      <c r="H47" s="70">
        <f t="shared" si="1"/>
        <v>104.86979166666666</v>
      </c>
    </row>
    <row r="48" spans="1:8" x14ac:dyDescent="0.25">
      <c r="A48" s="11" t="s">
        <v>279</v>
      </c>
      <c r="B48" s="220">
        <f>'[1]1. Фін результат'!B22</f>
        <v>1040</v>
      </c>
      <c r="C48" s="70">
        <f>Фін.результат!C22</f>
        <v>3224</v>
      </c>
      <c r="D48" s="70">
        <f>Фін.результат!D22</f>
        <v>3433</v>
      </c>
      <c r="E48" s="70">
        <f>Фін.результат!E22</f>
        <v>3788</v>
      </c>
      <c r="F48" s="70">
        <f t="shared" si="2"/>
        <v>3433</v>
      </c>
      <c r="G48" s="70">
        <f t="shared" si="0"/>
        <v>-355</v>
      </c>
      <c r="H48" s="70">
        <f t="shared" si="1"/>
        <v>90.628299894403369</v>
      </c>
    </row>
    <row r="49" spans="1:8" x14ac:dyDescent="0.25">
      <c r="A49" s="11" t="s">
        <v>280</v>
      </c>
      <c r="B49" s="220">
        <f>'[1]1. Фін результат'!B45</f>
        <v>1070</v>
      </c>
      <c r="C49" s="70">
        <f>Фін.результат!C45</f>
        <v>702</v>
      </c>
      <c r="D49" s="70">
        <f>Фін.результат!D45</f>
        <v>1312</v>
      </c>
      <c r="E49" s="70">
        <f>Фін.результат!E45</f>
        <v>960</v>
      </c>
      <c r="F49" s="70">
        <f t="shared" si="2"/>
        <v>1312</v>
      </c>
      <c r="G49" s="70">
        <f t="shared" si="0"/>
        <v>352</v>
      </c>
      <c r="H49" s="70">
        <f t="shared" si="1"/>
        <v>136.66666666666666</v>
      </c>
    </row>
    <row r="50" spans="1:8" x14ac:dyDescent="0.25">
      <c r="A50" s="11" t="s">
        <v>281</v>
      </c>
      <c r="B50" s="220">
        <f>'[1]1. Фін результат'!B77</f>
        <v>1300</v>
      </c>
      <c r="C50" s="70">
        <f>Фін.результат!C77</f>
        <v>3432</v>
      </c>
      <c r="D50" s="70">
        <f>Фін.результат!D77</f>
        <v>-715</v>
      </c>
      <c r="E50" s="70">
        <f>Фін.результат!E77</f>
        <v>960</v>
      </c>
      <c r="F50" s="70">
        <f t="shared" si="2"/>
        <v>-715</v>
      </c>
      <c r="G50" s="70">
        <f t="shared" si="0"/>
        <v>-1675</v>
      </c>
      <c r="H50" s="70">
        <f t="shared" si="1"/>
        <v>-74.479166666666657</v>
      </c>
    </row>
    <row r="51" spans="1:8" x14ac:dyDescent="0.25">
      <c r="A51" s="175" t="s">
        <v>55</v>
      </c>
      <c r="B51" s="220">
        <f>'[1]1. Фін результат'!B60</f>
        <v>1100</v>
      </c>
      <c r="C51" s="70">
        <f>Фін.результат!C60</f>
        <v>1773</v>
      </c>
      <c r="D51" s="70">
        <f>Фін.результат!D60</f>
        <v>-1433</v>
      </c>
      <c r="E51" s="70">
        <f>Фін.результат!E60</f>
        <v>52</v>
      </c>
      <c r="F51" s="70">
        <f t="shared" si="2"/>
        <v>-1433</v>
      </c>
      <c r="G51" s="70">
        <f t="shared" si="0"/>
        <v>-1485</v>
      </c>
      <c r="H51" s="70">
        <f t="shared" si="1"/>
        <v>-2755.7692307692305</v>
      </c>
    </row>
    <row r="52" spans="1:8" x14ac:dyDescent="0.25">
      <c r="A52" s="53" t="s">
        <v>81</v>
      </c>
      <c r="B52" s="220">
        <f>'[1]1. Фін результат'!B88</f>
        <v>1410</v>
      </c>
      <c r="C52" s="70">
        <f>Фін.результат!C88</f>
        <v>2428</v>
      </c>
      <c r="D52" s="70">
        <f>Фін.результат!D88</f>
        <v>-755</v>
      </c>
      <c r="E52" s="70">
        <f>Фін.результат!E88</f>
        <v>1084</v>
      </c>
      <c r="F52" s="70">
        <f t="shared" si="2"/>
        <v>-755</v>
      </c>
      <c r="G52" s="70">
        <f t="shared" si="0"/>
        <v>-1839</v>
      </c>
      <c r="H52" s="70">
        <f t="shared" si="1"/>
        <v>-69.649446494464939</v>
      </c>
    </row>
    <row r="53" spans="1:8" x14ac:dyDescent="0.25">
      <c r="A53" s="12" t="s">
        <v>282</v>
      </c>
      <c r="B53" s="220">
        <f>'[1] 5. Коефіцієнти'!B10</f>
        <v>5010</v>
      </c>
      <c r="C53" s="140">
        <f>Коефіцієнти!D10</f>
        <v>10.439867566754096</v>
      </c>
      <c r="D53" s="140">
        <f>Коефіцієнти!E10</f>
        <v>-2.5884530992868897</v>
      </c>
      <c r="E53" s="140">
        <f>E52/E45*100</f>
        <v>3.9852941176470589</v>
      </c>
      <c r="F53" s="165">
        <f t="shared" si="2"/>
        <v>-2.5884530992868897</v>
      </c>
      <c r="G53" s="146">
        <f t="shared" si="0"/>
        <v>-6.573747216933949</v>
      </c>
      <c r="H53" s="70">
        <f t="shared" si="1"/>
        <v>-64.950114668453324</v>
      </c>
    </row>
    <row r="54" spans="1:8" x14ac:dyDescent="0.25">
      <c r="A54" s="12" t="s">
        <v>283</v>
      </c>
      <c r="B54" s="220">
        <f>'[1]1. Фін результат'!B78</f>
        <v>1310</v>
      </c>
      <c r="C54" s="70">
        <f>Фін.результат!C78</f>
        <v>-61</v>
      </c>
      <c r="D54" s="70">
        <f>Фін.результат!D78</f>
        <v>-33</v>
      </c>
      <c r="E54" s="70">
        <f>Фін.результат!E78</f>
        <v>-80</v>
      </c>
      <c r="F54" s="70">
        <f t="shared" si="2"/>
        <v>-33</v>
      </c>
      <c r="G54" s="70">
        <f t="shared" si="0"/>
        <v>47</v>
      </c>
      <c r="H54" s="70">
        <f>F54/E54*100</f>
        <v>41.25</v>
      </c>
    </row>
    <row r="55" spans="1:8" x14ac:dyDescent="0.25">
      <c r="A55" s="11" t="s">
        <v>284</v>
      </c>
      <c r="B55" s="220">
        <f>'[1]1. Фін результат'!B79</f>
        <v>1320</v>
      </c>
      <c r="C55" s="70">
        <f>Фін.результат!C79</f>
        <v>441</v>
      </c>
      <c r="D55" s="70">
        <f>Фін.результат!D79</f>
        <v>418</v>
      </c>
      <c r="E55" s="70">
        <f>Фін.результат!E79</f>
        <v>160</v>
      </c>
      <c r="F55" s="70">
        <f t="shared" si="2"/>
        <v>418</v>
      </c>
      <c r="G55" s="70">
        <f t="shared" si="0"/>
        <v>258</v>
      </c>
      <c r="H55" s="70">
        <f t="shared" si="1"/>
        <v>261.25</v>
      </c>
    </row>
    <row r="56" spans="1:8" x14ac:dyDescent="0.25">
      <c r="A56" s="53" t="s">
        <v>62</v>
      </c>
      <c r="B56" s="220">
        <f>'[1]1. Фін результат'!B69</f>
        <v>1170</v>
      </c>
      <c r="C56" s="70">
        <f>Фін.результат!C69</f>
        <v>2153</v>
      </c>
      <c r="D56" s="70">
        <f>Фін.результат!D69</f>
        <v>-1048</v>
      </c>
      <c r="E56" s="70">
        <f>Фін.результат!E69</f>
        <v>132</v>
      </c>
      <c r="F56" s="70">
        <f t="shared" si="2"/>
        <v>-1048</v>
      </c>
      <c r="G56" s="70">
        <f t="shared" si="0"/>
        <v>-1180</v>
      </c>
      <c r="H56" s="70">
        <f t="shared" si="1"/>
        <v>-793.93939393939399</v>
      </c>
    </row>
    <row r="57" spans="1:8" x14ac:dyDescent="0.25">
      <c r="A57" s="5" t="s">
        <v>63</v>
      </c>
      <c r="B57" s="220">
        <f>'[1]1. Фін результат'!B70</f>
        <v>1180</v>
      </c>
      <c r="C57" s="70">
        <f>Фін.результат!C70</f>
        <v>125</v>
      </c>
      <c r="D57" s="70">
        <f>Фін.результат!D70</f>
        <v>0</v>
      </c>
      <c r="E57" s="70">
        <f>Фін.результат!E70</f>
        <v>24</v>
      </c>
      <c r="F57" s="70">
        <f t="shared" si="2"/>
        <v>0</v>
      </c>
      <c r="G57" s="70">
        <f t="shared" si="0"/>
        <v>-24</v>
      </c>
      <c r="H57" s="70">
        <f t="shared" si="1"/>
        <v>0</v>
      </c>
    </row>
    <row r="58" spans="1:8" x14ac:dyDescent="0.25">
      <c r="A58" s="175" t="s">
        <v>285</v>
      </c>
      <c r="B58" s="220">
        <f>'[1]1. Фін результат'!B72</f>
        <v>1200</v>
      </c>
      <c r="C58" s="70">
        <f>C56-C57</f>
        <v>2028</v>
      </c>
      <c r="D58" s="70">
        <f>Фін.результат!D72</f>
        <v>-1048</v>
      </c>
      <c r="E58" s="70">
        <f>Фін.результат!E72</f>
        <v>108</v>
      </c>
      <c r="F58" s="70">
        <f t="shared" si="2"/>
        <v>-1048</v>
      </c>
      <c r="G58" s="70">
        <f t="shared" si="0"/>
        <v>-1156</v>
      </c>
      <c r="H58" s="70">
        <f t="shared" si="1"/>
        <v>-970.37037037037044</v>
      </c>
    </row>
    <row r="59" spans="1:8" x14ac:dyDescent="0.25">
      <c r="A59" s="12" t="s">
        <v>286</v>
      </c>
      <c r="B59" s="220">
        <f>'[1] 5. Коефіцієнти'!B13</f>
        <v>5040</v>
      </c>
      <c r="C59" s="146">
        <f>C58/C45</f>
        <v>8.7199552822806031E-2</v>
      </c>
      <c r="D59" s="146">
        <f>Коефіцієнти!E13</f>
        <v>-3.5929786066922653E-2</v>
      </c>
      <c r="E59" s="146">
        <f>E58/E45</f>
        <v>3.9705882352941172E-3</v>
      </c>
      <c r="F59" s="146">
        <f t="shared" si="2"/>
        <v>-3.5929786066922653E-2</v>
      </c>
      <c r="G59" s="140">
        <f>F59-E59</f>
        <v>-3.9900374302216768E-2</v>
      </c>
      <c r="H59" s="70">
        <f t="shared" si="1"/>
        <v>-904.8983157595336</v>
      </c>
    </row>
    <row r="60" spans="1:8" ht="18.75" customHeight="1" x14ac:dyDescent="0.25">
      <c r="A60" s="54"/>
      <c r="B60" s="103"/>
      <c r="C60" s="97"/>
      <c r="D60" s="97"/>
      <c r="E60" s="97"/>
      <c r="F60" s="263" t="s">
        <v>0</v>
      </c>
      <c r="G60" s="263"/>
      <c r="H60" s="264"/>
    </row>
    <row r="61" spans="1:8" x14ac:dyDescent="0.25">
      <c r="A61" s="252" t="s">
        <v>96</v>
      </c>
      <c r="B61" s="253"/>
      <c r="C61" s="253"/>
      <c r="D61" s="253"/>
      <c r="E61" s="253"/>
      <c r="F61" s="253"/>
      <c r="G61" s="253"/>
      <c r="H61" s="254"/>
    </row>
    <row r="62" spans="1:8" x14ac:dyDescent="0.25">
      <c r="A62" s="12" t="s">
        <v>287</v>
      </c>
      <c r="B62" s="220">
        <f>'[1]2. Розрахунки з бюджетом'!B21</f>
        <v>2100</v>
      </c>
      <c r="C62" s="224">
        <f>'Розрахунки з бюджетом'!C21</f>
        <v>2</v>
      </c>
      <c r="D62" s="224">
        <f>'Розрахунки з бюджетом'!D21</f>
        <v>64</v>
      </c>
      <c r="E62" s="224">
        <f>'Розрахунки з бюджетом'!E21</f>
        <v>3.2</v>
      </c>
      <c r="F62" s="224">
        <f>'Розрахунки з бюджетом'!F21</f>
        <v>64</v>
      </c>
      <c r="G62" s="174">
        <f>F62-E62</f>
        <v>60.8</v>
      </c>
      <c r="H62" s="174">
        <f>F62/E62*100</f>
        <v>2000</v>
      </c>
    </row>
    <row r="63" spans="1:8" x14ac:dyDescent="0.25">
      <c r="A63" s="21" t="s">
        <v>117</v>
      </c>
      <c r="B63" s="220">
        <f>'[1]2. Розрахунки з бюджетом'!B24</f>
        <v>2110</v>
      </c>
      <c r="C63" s="224">
        <f>'Розрахунки з бюджетом'!C24</f>
        <v>2</v>
      </c>
      <c r="D63" s="224">
        <f>'Розрахунки з бюджетом'!D24</f>
        <v>113</v>
      </c>
      <c r="E63" s="224">
        <f>'Розрахунки з бюджетом'!E24</f>
        <v>24</v>
      </c>
      <c r="F63" s="224">
        <f>'Розрахунки з бюджетом'!F24</f>
        <v>113</v>
      </c>
      <c r="G63" s="174">
        <f t="shared" ref="G63:G67" si="3">F63-E63</f>
        <v>89</v>
      </c>
      <c r="H63" s="174">
        <f t="shared" ref="H63:H67" si="4">F63/E63*100</f>
        <v>470.83333333333331</v>
      </c>
    </row>
    <row r="64" spans="1:8" ht="37.5" x14ac:dyDescent="0.25">
      <c r="A64" s="21" t="s">
        <v>288</v>
      </c>
      <c r="B64" s="220" t="s">
        <v>289</v>
      </c>
      <c r="C64" s="224">
        <f>'Розрахунки з бюджетом'!C25</f>
        <v>2453</v>
      </c>
      <c r="D64" s="224">
        <f>'Розрахунки з бюджетом'!D25</f>
        <v>2906</v>
      </c>
      <c r="E64" s="224">
        <f>'Розрахунки з бюджетом'!E25</f>
        <v>3000</v>
      </c>
      <c r="F64" s="224">
        <f>'Розрахунки з бюджетом'!F25</f>
        <v>2906</v>
      </c>
      <c r="G64" s="174">
        <f t="shared" si="3"/>
        <v>-94</v>
      </c>
      <c r="H64" s="174">
        <f t="shared" si="4"/>
        <v>96.866666666666674</v>
      </c>
    </row>
    <row r="65" spans="1:8" ht="37.5" x14ac:dyDescent="0.25">
      <c r="A65" s="12" t="s">
        <v>290</v>
      </c>
      <c r="B65" s="220">
        <f>'[1]2. Розрахунки з бюджетом'!B29</f>
        <v>2140</v>
      </c>
      <c r="C65" s="224">
        <f>'Розрахунки з бюджетом'!C29</f>
        <v>5505</v>
      </c>
      <c r="D65" s="224">
        <f>'Розрахунки з бюджетом'!D29</f>
        <v>6722</v>
      </c>
      <c r="E65" s="224">
        <f>'Розрахунки з бюджетом'!E29</f>
        <v>6928</v>
      </c>
      <c r="F65" s="224">
        <f>'Розрахунки з бюджетом'!F29</f>
        <v>6722</v>
      </c>
      <c r="G65" s="174">
        <f t="shared" si="3"/>
        <v>-206</v>
      </c>
      <c r="H65" s="174">
        <f t="shared" si="4"/>
        <v>97.026558891454968</v>
      </c>
    </row>
    <row r="66" spans="1:8" ht="37.5" x14ac:dyDescent="0.25">
      <c r="A66" s="12" t="s">
        <v>137</v>
      </c>
      <c r="B66" s="220">
        <f>'[1]2. Розрахунки з бюджетом'!B41</f>
        <v>2150</v>
      </c>
      <c r="C66" s="224">
        <f>'Розрахунки з бюджетом'!C41</f>
        <v>1550</v>
      </c>
      <c r="D66" s="224">
        <f>'Розрахунки з бюджетом'!D41</f>
        <v>1854</v>
      </c>
      <c r="E66" s="224">
        <f>'Розрахунки з бюджетом'!E41</f>
        <v>1848</v>
      </c>
      <c r="F66" s="224">
        <f>'Розрахунки з бюджетом'!F41</f>
        <v>1854</v>
      </c>
      <c r="G66" s="174">
        <f t="shared" si="3"/>
        <v>6</v>
      </c>
      <c r="H66" s="174">
        <f t="shared" si="4"/>
        <v>100.32467532467533</v>
      </c>
    </row>
    <row r="67" spans="1:8" x14ac:dyDescent="0.25">
      <c r="A67" s="53" t="s">
        <v>138</v>
      </c>
      <c r="B67" s="220">
        <f>'[1]2. Розрахунки з бюджетом'!B42</f>
        <v>2200</v>
      </c>
      <c r="C67" s="224">
        <f>'Розрахунки з бюджетом'!C42</f>
        <v>9512</v>
      </c>
      <c r="D67" s="224">
        <f>'Розрахунки з бюджетом'!D42</f>
        <v>11659</v>
      </c>
      <c r="E67" s="224">
        <f>'Розрахунки з бюджетом'!E42</f>
        <v>11803.2</v>
      </c>
      <c r="F67" s="224">
        <f>'Розрахунки з бюджетом'!F42</f>
        <v>11659</v>
      </c>
      <c r="G67" s="174">
        <f t="shared" si="3"/>
        <v>-144.20000000000073</v>
      </c>
      <c r="H67" s="174">
        <f t="shared" si="4"/>
        <v>98.778297410871616</v>
      </c>
    </row>
    <row r="68" spans="1:8" x14ac:dyDescent="0.25">
      <c r="A68" s="252" t="s">
        <v>145</v>
      </c>
      <c r="B68" s="253"/>
      <c r="C68" s="253"/>
      <c r="D68" s="253"/>
      <c r="E68" s="253"/>
      <c r="F68" s="253"/>
      <c r="G68" s="253"/>
      <c r="H68" s="254"/>
    </row>
    <row r="69" spans="1:8" x14ac:dyDescent="0.25">
      <c r="A69" s="53" t="s">
        <v>291</v>
      </c>
      <c r="B69" s="220">
        <f>'[1]3. Рух грошових коштів'!B67</f>
        <v>3600</v>
      </c>
      <c r="C69" s="224">
        <f>'рух грош.коштів'!C67</f>
        <v>251</v>
      </c>
      <c r="D69" s="224">
        <f>'рух грош.коштів'!D67</f>
        <v>106</v>
      </c>
      <c r="E69" s="224">
        <f>'рух грош.коштів'!E67</f>
        <v>260</v>
      </c>
      <c r="F69" s="224">
        <f>'рух грош.коштів'!F67</f>
        <v>106</v>
      </c>
      <c r="G69" s="174">
        <f>F69-E69</f>
        <v>-154</v>
      </c>
      <c r="H69" s="174">
        <f>F69/E69*100</f>
        <v>40.769230769230766</v>
      </c>
    </row>
    <row r="70" spans="1:8" x14ac:dyDescent="0.25">
      <c r="A70" s="12" t="s">
        <v>292</v>
      </c>
      <c r="B70" s="220">
        <f>'[1]3. Рух грошових коштів'!B20</f>
        <v>3090</v>
      </c>
      <c r="C70" s="224">
        <f>'рух грош.коштів'!C20</f>
        <v>-145</v>
      </c>
      <c r="D70" s="224">
        <f>'рух грош.коштів'!D20</f>
        <v>1</v>
      </c>
      <c r="E70" s="224">
        <f>'рух грош.коштів'!E20</f>
        <v>160</v>
      </c>
      <c r="F70" s="224">
        <f>'рух грош.коштів'!F20</f>
        <v>1</v>
      </c>
      <c r="G70" s="174">
        <f t="shared" ref="G70:G74" si="5">F70-E70</f>
        <v>-159</v>
      </c>
      <c r="H70" s="174">
        <f t="shared" ref="H70:H74" si="6">F70/E70*100</f>
        <v>0.625</v>
      </c>
    </row>
    <row r="71" spans="1:8" x14ac:dyDescent="0.25">
      <c r="A71" s="12" t="s">
        <v>293</v>
      </c>
      <c r="B71" s="220">
        <f>'[1]3. Рух грошових коштів'!B37</f>
        <v>3320</v>
      </c>
      <c r="C71" s="224">
        <v>0</v>
      </c>
      <c r="D71" s="224">
        <v>0</v>
      </c>
      <c r="E71" s="224">
        <v>0</v>
      </c>
      <c r="F71" s="224">
        <v>0</v>
      </c>
      <c r="G71" s="174">
        <f t="shared" si="5"/>
        <v>0</v>
      </c>
      <c r="H71" s="174">
        <v>0</v>
      </c>
    </row>
    <row r="72" spans="1:8" x14ac:dyDescent="0.25">
      <c r="A72" s="12" t="s">
        <v>294</v>
      </c>
      <c r="B72" s="220">
        <f>'[1]3. Рух грошових коштів'!B65</f>
        <v>3580</v>
      </c>
      <c r="C72" s="224">
        <v>0</v>
      </c>
      <c r="D72" s="224">
        <v>0</v>
      </c>
      <c r="E72" s="224">
        <v>0</v>
      </c>
      <c r="F72" s="224">
        <v>0</v>
      </c>
      <c r="G72" s="174">
        <f t="shared" si="5"/>
        <v>0</v>
      </c>
      <c r="H72" s="174">
        <v>0</v>
      </c>
    </row>
    <row r="73" spans="1:8" x14ac:dyDescent="0.25">
      <c r="A73" s="12" t="s">
        <v>295</v>
      </c>
      <c r="B73" s="220">
        <f>'[1]3. Рух грошових коштів'!B68</f>
        <v>3610</v>
      </c>
      <c r="C73" s="224">
        <v>0</v>
      </c>
      <c r="D73" s="224">
        <v>0</v>
      </c>
      <c r="E73" s="224">
        <v>0</v>
      </c>
      <c r="F73" s="224">
        <v>0</v>
      </c>
      <c r="G73" s="174">
        <f t="shared" si="5"/>
        <v>0</v>
      </c>
      <c r="H73" s="174">
        <v>0</v>
      </c>
    </row>
    <row r="74" spans="1:8" x14ac:dyDescent="0.25">
      <c r="A74" s="53" t="s">
        <v>296</v>
      </c>
      <c r="B74" s="220">
        <f>'[1]3. Рух грошових коштів'!B69</f>
        <v>3620</v>
      </c>
      <c r="C74" s="224">
        <f>'рух грош.коштів'!C69</f>
        <v>106</v>
      </c>
      <c r="D74" s="224">
        <f>'рух грош.коштів'!D69</f>
        <v>107</v>
      </c>
      <c r="E74" s="224">
        <f>'рух грош.коштів'!E69</f>
        <v>420</v>
      </c>
      <c r="F74" s="224">
        <f>'рух грош.коштів'!F69</f>
        <v>107</v>
      </c>
      <c r="G74" s="174">
        <f t="shared" si="5"/>
        <v>-313</v>
      </c>
      <c r="H74" s="174">
        <f t="shared" si="6"/>
        <v>25.476190476190474</v>
      </c>
    </row>
    <row r="75" spans="1:8" x14ac:dyDescent="0.25">
      <c r="A75" s="265" t="s">
        <v>297</v>
      </c>
      <c r="B75" s="266"/>
      <c r="C75" s="266"/>
      <c r="D75" s="266"/>
      <c r="E75" s="266"/>
      <c r="F75" s="266"/>
      <c r="G75" s="266"/>
      <c r="H75" s="266"/>
    </row>
    <row r="76" spans="1:8" x14ac:dyDescent="0.25">
      <c r="A76" s="12" t="s">
        <v>298</v>
      </c>
      <c r="B76" s="219">
        <f>'[1]4. Кап. інвестиції'!B8</f>
        <v>4000</v>
      </c>
      <c r="C76" s="224">
        <f>Кап.інвестиції!C8</f>
        <v>84</v>
      </c>
      <c r="D76" s="224">
        <f>Кап.інвестиції!D8</f>
        <v>42</v>
      </c>
      <c r="E76" s="224">
        <f>Кап.інвестиції!E8</f>
        <v>15600</v>
      </c>
      <c r="F76" s="224">
        <f>Кап.інвестиції!F8</f>
        <v>42</v>
      </c>
      <c r="G76" s="174">
        <f>F76-E76</f>
        <v>-15558</v>
      </c>
      <c r="H76" s="174">
        <f>F76/E76*100</f>
        <v>0.26923076923076922</v>
      </c>
    </row>
    <row r="77" spans="1:8" x14ac:dyDescent="0.25">
      <c r="A77" s="261" t="s">
        <v>212</v>
      </c>
      <c r="B77" s="261"/>
      <c r="C77" s="261"/>
      <c r="D77" s="261"/>
      <c r="E77" s="261"/>
      <c r="F77" s="261"/>
      <c r="G77" s="261"/>
      <c r="H77" s="261"/>
    </row>
    <row r="78" spans="1:8" x14ac:dyDescent="0.25">
      <c r="A78" s="12" t="s">
        <v>299</v>
      </c>
      <c r="B78" s="219">
        <f>'[1] 5. Коефіцієнти'!B11</f>
        <v>5020</v>
      </c>
      <c r="C78" s="140">
        <f>Коефіцієнти!D11</f>
        <v>0.12772389469706513</v>
      </c>
      <c r="D78" s="140">
        <f>Коефіцієнти!E11</f>
        <v>-6.4591679506933744E-2</v>
      </c>
      <c r="E78" s="140">
        <f>E58/'Фін.план зведені показники'!E85</f>
        <v>4.655172413793103E-3</v>
      </c>
      <c r="F78" s="140">
        <f>D78</f>
        <v>-6.4591679506933744E-2</v>
      </c>
      <c r="G78" s="140">
        <f>F78-E78</f>
        <v>-6.9246851920726854E-2</v>
      </c>
      <c r="H78" s="174">
        <f>F78/E78*100</f>
        <v>-1387.5249671859842</v>
      </c>
    </row>
    <row r="79" spans="1:8" x14ac:dyDescent="0.25">
      <c r="A79" s="12" t="s">
        <v>300</v>
      </c>
      <c r="B79" s="219">
        <f>'[1] 5. Коефіцієнти'!B12</f>
        <v>5030</v>
      </c>
      <c r="C79" s="140">
        <f>Коефіцієнти!D12</f>
        <v>0.15561694290976058</v>
      </c>
      <c r="D79" s="140">
        <f>Коефіцієнти!E12</f>
        <v>-9.7388718520583589E-2</v>
      </c>
      <c r="E79" s="140">
        <f>Фін.результат!E72/'Фін.план зведені показники'!E91</f>
        <v>5.6842105263157899E-3</v>
      </c>
      <c r="F79" s="140">
        <f>Коефіцієнти!E12</f>
        <v>-9.7388718520583589E-2</v>
      </c>
      <c r="G79" s="140">
        <f t="shared" ref="G79:G80" si="7">F79-E79</f>
        <v>-0.10307292904689938</v>
      </c>
      <c r="H79" s="174">
        <f t="shared" ref="H79" si="8">F79/E79*100</f>
        <v>-1713.3200480473035</v>
      </c>
    </row>
    <row r="80" spans="1:8" x14ac:dyDescent="0.25">
      <c r="A80" s="12" t="s">
        <v>301</v>
      </c>
      <c r="B80" s="219">
        <f>'[1] 5. Коефіцієнти'!B16</f>
        <v>5110</v>
      </c>
      <c r="C80" s="140">
        <f>Коефіцієнти!D16</f>
        <v>4.5790583274771608</v>
      </c>
      <c r="D80" s="140">
        <f>Коефіцієнти!E16</f>
        <v>1.9694363103953147</v>
      </c>
      <c r="E80" s="140">
        <f>E91/E87</f>
        <v>4.5238095238095237</v>
      </c>
      <c r="F80" s="140">
        <f>D80</f>
        <v>1.9694363103953147</v>
      </c>
      <c r="G80" s="140">
        <f t="shared" si="7"/>
        <v>-2.554373213414209</v>
      </c>
      <c r="H80" s="174">
        <f>F80/E80*100</f>
        <v>43.5349079140017</v>
      </c>
    </row>
    <row r="81" spans="1:8" x14ac:dyDescent="0.25">
      <c r="A81" s="252" t="s">
        <v>302</v>
      </c>
      <c r="B81" s="253"/>
      <c r="C81" s="253"/>
      <c r="D81" s="253"/>
      <c r="E81" s="253"/>
      <c r="F81" s="253"/>
      <c r="G81" s="253"/>
      <c r="H81" s="254"/>
    </row>
    <row r="82" spans="1:8" x14ac:dyDescent="0.25">
      <c r="A82" s="12" t="s">
        <v>303</v>
      </c>
      <c r="B82" s="219">
        <v>6000</v>
      </c>
      <c r="C82" s="224">
        <v>7111</v>
      </c>
      <c r="D82" s="224">
        <f>F82</f>
        <v>6248</v>
      </c>
      <c r="E82" s="224">
        <v>15600</v>
      </c>
      <c r="F82" s="224">
        <v>6248</v>
      </c>
      <c r="G82" s="174">
        <f>F82-E82</f>
        <v>-9352</v>
      </c>
      <c r="H82" s="174">
        <f>F82/E82*100</f>
        <v>40.051282051282051</v>
      </c>
    </row>
    <row r="83" spans="1:8" x14ac:dyDescent="0.25">
      <c r="A83" s="12" t="s">
        <v>304</v>
      </c>
      <c r="B83" s="219">
        <v>6010</v>
      </c>
      <c r="C83" s="224">
        <v>8767</v>
      </c>
      <c r="D83" s="224">
        <f t="shared" ref="D83:D85" si="9">F83</f>
        <v>9977</v>
      </c>
      <c r="E83" s="224">
        <v>7600</v>
      </c>
      <c r="F83" s="224">
        <v>9977</v>
      </c>
      <c r="G83" s="174">
        <f t="shared" ref="G83:G91" si="10">F83-E83</f>
        <v>2377</v>
      </c>
      <c r="H83" s="174">
        <f t="shared" ref="H83:H91" si="11">F83/E83*100</f>
        <v>131.27631578947367</v>
      </c>
    </row>
    <row r="84" spans="1:8" x14ac:dyDescent="0.25">
      <c r="A84" s="12" t="s">
        <v>305</v>
      </c>
      <c r="B84" s="219">
        <v>6020</v>
      </c>
      <c r="C84" s="224">
        <v>106</v>
      </c>
      <c r="D84" s="224">
        <f t="shared" si="9"/>
        <v>107</v>
      </c>
      <c r="E84" s="224">
        <v>420</v>
      </c>
      <c r="F84" s="224">
        <v>107</v>
      </c>
      <c r="G84" s="174">
        <f t="shared" si="10"/>
        <v>-313</v>
      </c>
      <c r="H84" s="174">
        <f t="shared" si="11"/>
        <v>25.476190476190474</v>
      </c>
    </row>
    <row r="85" spans="1:8" x14ac:dyDescent="0.25">
      <c r="A85" s="53" t="s">
        <v>306</v>
      </c>
      <c r="B85" s="219">
        <v>6030</v>
      </c>
      <c r="C85" s="224">
        <f>C82+C83</f>
        <v>15878</v>
      </c>
      <c r="D85" s="224">
        <f t="shared" si="9"/>
        <v>16225</v>
      </c>
      <c r="E85" s="224">
        <f>E82+E83</f>
        <v>23200</v>
      </c>
      <c r="F85" s="224">
        <f>F82+F83</f>
        <v>16225</v>
      </c>
      <c r="G85" s="174">
        <f t="shared" si="10"/>
        <v>-6975</v>
      </c>
      <c r="H85" s="174">
        <f t="shared" si="11"/>
        <v>69.935344827586206</v>
      </c>
    </row>
    <row r="86" spans="1:8" x14ac:dyDescent="0.25">
      <c r="A86" s="12" t="s">
        <v>307</v>
      </c>
      <c r="B86" s="219">
        <v>6040</v>
      </c>
      <c r="C86" s="224">
        <v>0</v>
      </c>
      <c r="D86" s="224">
        <f>F86</f>
        <v>0</v>
      </c>
      <c r="E86" s="224">
        <v>0</v>
      </c>
      <c r="F86" s="224">
        <v>0</v>
      </c>
      <c r="G86" s="174">
        <f t="shared" si="10"/>
        <v>0</v>
      </c>
      <c r="H86" s="174">
        <v>0</v>
      </c>
    </row>
    <row r="87" spans="1:8" x14ac:dyDescent="0.25">
      <c r="A87" s="12" t="s">
        <v>308</v>
      </c>
      <c r="B87" s="219">
        <v>6050</v>
      </c>
      <c r="C87" s="224">
        <v>2846</v>
      </c>
      <c r="D87" s="224">
        <f t="shared" ref="D87:D91" si="12">F87</f>
        <v>5464</v>
      </c>
      <c r="E87" s="224">
        <v>4200</v>
      </c>
      <c r="F87" s="224">
        <v>5464</v>
      </c>
      <c r="G87" s="174">
        <f t="shared" si="10"/>
        <v>1264</v>
      </c>
      <c r="H87" s="174">
        <f t="shared" si="11"/>
        <v>130.09523809523807</v>
      </c>
    </row>
    <row r="88" spans="1:8" x14ac:dyDescent="0.25">
      <c r="A88" s="53" t="s">
        <v>309</v>
      </c>
      <c r="B88" s="219">
        <v>6060</v>
      </c>
      <c r="C88" s="224">
        <f>C86+C87</f>
        <v>2846</v>
      </c>
      <c r="D88" s="224">
        <f t="shared" si="12"/>
        <v>5464</v>
      </c>
      <c r="E88" s="224">
        <f>E86+E87</f>
        <v>4200</v>
      </c>
      <c r="F88" s="224">
        <f>F87</f>
        <v>5464</v>
      </c>
      <c r="G88" s="174">
        <f>F88-E88</f>
        <v>1264</v>
      </c>
      <c r="H88" s="174">
        <f t="shared" si="11"/>
        <v>130.09523809523807</v>
      </c>
    </row>
    <row r="89" spans="1:8" x14ac:dyDescent="0.25">
      <c r="A89" s="12" t="s">
        <v>310</v>
      </c>
      <c r="B89" s="219">
        <v>6070</v>
      </c>
      <c r="C89" s="224">
        <v>0</v>
      </c>
      <c r="D89" s="224">
        <f t="shared" si="12"/>
        <v>0</v>
      </c>
      <c r="E89" s="224">
        <v>0</v>
      </c>
      <c r="F89" s="224">
        <v>0</v>
      </c>
      <c r="G89" s="174">
        <f t="shared" si="10"/>
        <v>0</v>
      </c>
      <c r="H89" s="174">
        <v>0</v>
      </c>
    </row>
    <row r="90" spans="1:8" x14ac:dyDescent="0.25">
      <c r="A90" s="12" t="s">
        <v>311</v>
      </c>
      <c r="B90" s="219">
        <v>6080</v>
      </c>
      <c r="C90" s="224">
        <v>0</v>
      </c>
      <c r="D90" s="224">
        <f t="shared" si="12"/>
        <v>0</v>
      </c>
      <c r="E90" s="224">
        <v>0</v>
      </c>
      <c r="F90" s="224">
        <v>0</v>
      </c>
      <c r="G90" s="174">
        <f t="shared" si="10"/>
        <v>0</v>
      </c>
      <c r="H90" s="174">
        <v>0</v>
      </c>
    </row>
    <row r="91" spans="1:8" x14ac:dyDescent="0.25">
      <c r="A91" s="53" t="s">
        <v>312</v>
      </c>
      <c r="B91" s="219">
        <v>6090</v>
      </c>
      <c r="C91" s="224">
        <f>C85-C88</f>
        <v>13032</v>
      </c>
      <c r="D91" s="224">
        <f t="shared" si="12"/>
        <v>10761</v>
      </c>
      <c r="E91" s="224">
        <f>E85-E87</f>
        <v>19000</v>
      </c>
      <c r="F91" s="224">
        <v>10761</v>
      </c>
      <c r="G91" s="174">
        <f t="shared" si="10"/>
        <v>-8239</v>
      </c>
      <c r="H91" s="174">
        <f t="shared" si="11"/>
        <v>56.636842105263163</v>
      </c>
    </row>
    <row r="92" spans="1:8" x14ac:dyDescent="0.25">
      <c r="A92" s="55"/>
      <c r="E92" s="218" t="s">
        <v>3</v>
      </c>
    </row>
    <row r="93" spans="1:8" x14ac:dyDescent="0.25">
      <c r="A93" s="55"/>
      <c r="F93" s="56"/>
    </row>
    <row r="94" spans="1:8" x14ac:dyDescent="0.25">
      <c r="A94" s="14"/>
    </row>
    <row r="95" spans="1:8" ht="18.75" customHeight="1" x14ac:dyDescent="0.25">
      <c r="A95" s="13" t="s">
        <v>313</v>
      </c>
      <c r="B95" s="15"/>
      <c r="C95" s="246" t="s">
        <v>91</v>
      </c>
      <c r="D95" s="246"/>
      <c r="E95" s="143"/>
      <c r="F95" s="247" t="s">
        <v>317</v>
      </c>
      <c r="G95" s="247"/>
      <c r="H95" s="247"/>
    </row>
    <row r="96" spans="1:8" x14ac:dyDescent="0.25">
      <c r="A96" s="169" t="s">
        <v>210</v>
      </c>
      <c r="B96" s="1"/>
      <c r="C96" s="248" t="s">
        <v>198</v>
      </c>
      <c r="D96" s="248"/>
      <c r="E96" s="1"/>
      <c r="F96" s="249" t="s">
        <v>314</v>
      </c>
      <c r="G96" s="249"/>
      <c r="H96" s="249"/>
    </row>
  </sheetData>
  <mergeCells count="39">
    <mergeCell ref="A77:H77"/>
    <mergeCell ref="A44:H44"/>
    <mergeCell ref="F60:H60"/>
    <mergeCell ref="A61:H61"/>
    <mergeCell ref="A68:H68"/>
    <mergeCell ref="A75:H75"/>
    <mergeCell ref="A34:H34"/>
    <mergeCell ref="A35:H35"/>
    <mergeCell ref="A38:H38"/>
    <mergeCell ref="A41:A42"/>
    <mergeCell ref="B41:B42"/>
    <mergeCell ref="C41:D41"/>
    <mergeCell ref="E41:H41"/>
    <mergeCell ref="F1:H1"/>
    <mergeCell ref="F2:H2"/>
    <mergeCell ref="F3:H3"/>
    <mergeCell ref="F4:H4"/>
    <mergeCell ref="B12:E12"/>
    <mergeCell ref="B13:E13"/>
    <mergeCell ref="B14:E14"/>
    <mergeCell ref="B15:E15"/>
    <mergeCell ref="B16:E16"/>
    <mergeCell ref="B17:E17"/>
    <mergeCell ref="C95:D95"/>
    <mergeCell ref="F95:H95"/>
    <mergeCell ref="C96:D96"/>
    <mergeCell ref="F96:H96"/>
    <mergeCell ref="B18:E18"/>
    <mergeCell ref="B19:E19"/>
    <mergeCell ref="F19:G19"/>
    <mergeCell ref="B20:E20"/>
    <mergeCell ref="A81:H81"/>
    <mergeCell ref="F20:G20"/>
    <mergeCell ref="B21:E21"/>
    <mergeCell ref="B22:E22"/>
    <mergeCell ref="B23:E23"/>
    <mergeCell ref="B24:E24"/>
    <mergeCell ref="A32:H32"/>
    <mergeCell ref="A33:H33"/>
  </mergeCells>
  <pageMargins left="0.9055118110236221" right="0" top="0.39370078740157483" bottom="0"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7"/>
  <sheetViews>
    <sheetView topLeftCell="A3" zoomScaleNormal="100" workbookViewId="0">
      <pane xSplit="2" ySplit="1" topLeftCell="C129" activePane="bottomRight" state="frozen"/>
      <selection activeCell="A3" sqref="A3"/>
      <selection pane="topRight" activeCell="C3" sqref="C3"/>
      <selection pane="bottomLeft" activeCell="A4" sqref="A4"/>
      <selection pane="bottomRight" activeCell="C149" sqref="C149"/>
    </sheetView>
  </sheetViews>
  <sheetFormatPr defaultRowHeight="18.75" outlineLevelRow="1" x14ac:dyDescent="0.25"/>
  <cols>
    <col min="1" max="1" width="71.140625" style="1" customWidth="1"/>
    <col min="2" max="2" width="12.140625" style="234" customWidth="1"/>
    <col min="3" max="3" width="16.140625" style="56" customWidth="1"/>
    <col min="4" max="4" width="16" style="56" customWidth="1"/>
    <col min="5" max="5" width="14.7109375" style="56" customWidth="1"/>
    <col min="6" max="6" width="15.5703125" style="56" customWidth="1"/>
    <col min="7" max="7" width="14.85546875" style="56" customWidth="1"/>
    <col min="8" max="8" width="13.28515625" style="56" customWidth="1"/>
    <col min="9" max="9" width="30" style="56" customWidth="1"/>
    <col min="10" max="10" width="9.140625" style="1" customWidth="1"/>
    <col min="11" max="11" width="11.28515625" style="234" hidden="1" customWidth="1"/>
    <col min="12" max="12" width="11" style="234" hidden="1" customWidth="1"/>
    <col min="13" max="13" width="11.5703125" style="149" hidden="1" customWidth="1"/>
    <col min="14" max="14" width="12" style="234" hidden="1" customWidth="1"/>
    <col min="15" max="15" width="11.28515625" style="234" hidden="1" customWidth="1"/>
    <col min="16" max="16" width="10.85546875" style="234" hidden="1" customWidth="1"/>
    <col min="17" max="17" width="9.140625" style="234" hidden="1" customWidth="1"/>
    <col min="18" max="18" width="10.85546875" style="234" hidden="1" customWidth="1"/>
    <col min="19" max="20" width="9.140625" style="1" hidden="1" customWidth="1"/>
    <col min="21" max="21" width="10.85546875" style="1" hidden="1" customWidth="1"/>
    <col min="22" max="24" width="9.140625" style="1" hidden="1" customWidth="1"/>
    <col min="25" max="25" width="12.42578125" style="1" hidden="1" customWidth="1"/>
    <col min="26" max="26" width="12.85546875" style="1" hidden="1" customWidth="1"/>
    <col min="27" max="28" width="9.140625" style="1" hidden="1" customWidth="1"/>
    <col min="29" max="29" width="9.140625" style="1" customWidth="1"/>
    <col min="30" max="252" width="9.140625" style="1"/>
    <col min="253" max="253" width="92.85546875" style="1" customWidth="1"/>
    <col min="254" max="254" width="14.85546875" style="1" customWidth="1"/>
    <col min="255" max="259" width="22.42578125" style="1" customWidth="1"/>
    <col min="260" max="260" width="19.85546875" style="1" customWidth="1"/>
    <col min="261" max="261" width="95.42578125" style="1" customWidth="1"/>
    <col min="262" max="508" width="9.140625" style="1"/>
    <col min="509" max="509" width="92.85546875" style="1" customWidth="1"/>
    <col min="510" max="510" width="14.85546875" style="1" customWidth="1"/>
    <col min="511" max="515" width="22.42578125" style="1" customWidth="1"/>
    <col min="516" max="516" width="19.85546875" style="1" customWidth="1"/>
    <col min="517" max="517" width="95.42578125" style="1" customWidth="1"/>
    <col min="518" max="764" width="9.140625" style="1"/>
    <col min="765" max="765" width="92.85546875" style="1" customWidth="1"/>
    <col min="766" max="766" width="14.85546875" style="1" customWidth="1"/>
    <col min="767" max="771" width="22.42578125" style="1" customWidth="1"/>
    <col min="772" max="772" width="19.85546875" style="1" customWidth="1"/>
    <col min="773" max="773" width="95.42578125" style="1" customWidth="1"/>
    <col min="774" max="1020" width="9.140625" style="1"/>
    <col min="1021" max="1021" width="92.85546875" style="1" customWidth="1"/>
    <col min="1022" max="1022" width="14.85546875" style="1" customWidth="1"/>
    <col min="1023" max="1027" width="22.42578125" style="1" customWidth="1"/>
    <col min="1028" max="1028" width="19.85546875" style="1" customWidth="1"/>
    <col min="1029" max="1029" width="95.42578125" style="1" customWidth="1"/>
    <col min="1030" max="1276" width="9.140625" style="1"/>
    <col min="1277" max="1277" width="92.85546875" style="1" customWidth="1"/>
    <col min="1278" max="1278" width="14.85546875" style="1" customWidth="1"/>
    <col min="1279" max="1283" width="22.42578125" style="1" customWidth="1"/>
    <col min="1284" max="1284" width="19.85546875" style="1" customWidth="1"/>
    <col min="1285" max="1285" width="95.42578125" style="1" customWidth="1"/>
    <col min="1286" max="1532" width="9.140625" style="1"/>
    <col min="1533" max="1533" width="92.85546875" style="1" customWidth="1"/>
    <col min="1534" max="1534" width="14.85546875" style="1" customWidth="1"/>
    <col min="1535" max="1539" width="22.42578125" style="1" customWidth="1"/>
    <col min="1540" max="1540" width="19.85546875" style="1" customWidth="1"/>
    <col min="1541" max="1541" width="95.42578125" style="1" customWidth="1"/>
    <col min="1542" max="1788" width="9.140625" style="1"/>
    <col min="1789" max="1789" width="92.85546875" style="1" customWidth="1"/>
    <col min="1790" max="1790" width="14.85546875" style="1" customWidth="1"/>
    <col min="1791" max="1795" width="22.42578125" style="1" customWidth="1"/>
    <col min="1796" max="1796" width="19.85546875" style="1" customWidth="1"/>
    <col min="1797" max="1797" width="95.42578125" style="1" customWidth="1"/>
    <col min="1798" max="2044" width="9.140625" style="1"/>
    <col min="2045" max="2045" width="92.85546875" style="1" customWidth="1"/>
    <col min="2046" max="2046" width="14.85546875" style="1" customWidth="1"/>
    <col min="2047" max="2051" width="22.42578125" style="1" customWidth="1"/>
    <col min="2052" max="2052" width="19.85546875" style="1" customWidth="1"/>
    <col min="2053" max="2053" width="95.42578125" style="1" customWidth="1"/>
    <col min="2054" max="2300" width="9.140625" style="1"/>
    <col min="2301" max="2301" width="92.85546875" style="1" customWidth="1"/>
    <col min="2302" max="2302" width="14.85546875" style="1" customWidth="1"/>
    <col min="2303" max="2307" width="22.42578125" style="1" customWidth="1"/>
    <col min="2308" max="2308" width="19.85546875" style="1" customWidth="1"/>
    <col min="2309" max="2309" width="95.42578125" style="1" customWidth="1"/>
    <col min="2310" max="2556" width="9.140625" style="1"/>
    <col min="2557" max="2557" width="92.85546875" style="1" customWidth="1"/>
    <col min="2558" max="2558" width="14.85546875" style="1" customWidth="1"/>
    <col min="2559" max="2563" width="22.42578125" style="1" customWidth="1"/>
    <col min="2564" max="2564" width="19.85546875" style="1" customWidth="1"/>
    <col min="2565" max="2565" width="95.42578125" style="1" customWidth="1"/>
    <col min="2566" max="2812" width="9.140625" style="1"/>
    <col min="2813" max="2813" width="92.85546875" style="1" customWidth="1"/>
    <col min="2814" max="2814" width="14.85546875" style="1" customWidth="1"/>
    <col min="2815" max="2819" width="22.42578125" style="1" customWidth="1"/>
    <col min="2820" max="2820" width="19.85546875" style="1" customWidth="1"/>
    <col min="2821" max="2821" width="95.42578125" style="1" customWidth="1"/>
    <col min="2822" max="3068" width="9.140625" style="1"/>
    <col min="3069" max="3069" width="92.85546875" style="1" customWidth="1"/>
    <col min="3070" max="3070" width="14.85546875" style="1" customWidth="1"/>
    <col min="3071" max="3075" width="22.42578125" style="1" customWidth="1"/>
    <col min="3076" max="3076" width="19.85546875" style="1" customWidth="1"/>
    <col min="3077" max="3077" width="95.42578125" style="1" customWidth="1"/>
    <col min="3078" max="3324" width="9.140625" style="1"/>
    <col min="3325" max="3325" width="92.85546875" style="1" customWidth="1"/>
    <col min="3326" max="3326" width="14.85546875" style="1" customWidth="1"/>
    <col min="3327" max="3331" width="22.42578125" style="1" customWidth="1"/>
    <col min="3332" max="3332" width="19.85546875" style="1" customWidth="1"/>
    <col min="3333" max="3333" width="95.42578125" style="1" customWidth="1"/>
    <col min="3334" max="3580" width="9.140625" style="1"/>
    <col min="3581" max="3581" width="92.85546875" style="1" customWidth="1"/>
    <col min="3582" max="3582" width="14.85546875" style="1" customWidth="1"/>
    <col min="3583" max="3587" width="22.42578125" style="1" customWidth="1"/>
    <col min="3588" max="3588" width="19.85546875" style="1" customWidth="1"/>
    <col min="3589" max="3589" width="95.42578125" style="1" customWidth="1"/>
    <col min="3590" max="3836" width="9.140625" style="1"/>
    <col min="3837" max="3837" width="92.85546875" style="1" customWidth="1"/>
    <col min="3838" max="3838" width="14.85546875" style="1" customWidth="1"/>
    <col min="3839" max="3843" width="22.42578125" style="1" customWidth="1"/>
    <col min="3844" max="3844" width="19.85546875" style="1" customWidth="1"/>
    <col min="3845" max="3845" width="95.42578125" style="1" customWidth="1"/>
    <col min="3846" max="4092" width="9.140625" style="1"/>
    <col min="4093" max="4093" width="92.85546875" style="1" customWidth="1"/>
    <col min="4094" max="4094" width="14.85546875" style="1" customWidth="1"/>
    <col min="4095" max="4099" width="22.42578125" style="1" customWidth="1"/>
    <col min="4100" max="4100" width="19.85546875" style="1" customWidth="1"/>
    <col min="4101" max="4101" width="95.42578125" style="1" customWidth="1"/>
    <col min="4102" max="4348" width="9.140625" style="1"/>
    <col min="4349" max="4349" width="92.85546875" style="1" customWidth="1"/>
    <col min="4350" max="4350" width="14.85546875" style="1" customWidth="1"/>
    <col min="4351" max="4355" width="22.42578125" style="1" customWidth="1"/>
    <col min="4356" max="4356" width="19.85546875" style="1" customWidth="1"/>
    <col min="4357" max="4357" width="95.42578125" style="1" customWidth="1"/>
    <col min="4358" max="4604" width="9.140625" style="1"/>
    <col min="4605" max="4605" width="92.85546875" style="1" customWidth="1"/>
    <col min="4606" max="4606" width="14.85546875" style="1" customWidth="1"/>
    <col min="4607" max="4611" width="22.42578125" style="1" customWidth="1"/>
    <col min="4612" max="4612" width="19.85546875" style="1" customWidth="1"/>
    <col min="4613" max="4613" width="95.42578125" style="1" customWidth="1"/>
    <col min="4614" max="4860" width="9.140625" style="1"/>
    <col min="4861" max="4861" width="92.85546875" style="1" customWidth="1"/>
    <col min="4862" max="4862" width="14.85546875" style="1" customWidth="1"/>
    <col min="4863" max="4867" width="22.42578125" style="1" customWidth="1"/>
    <col min="4868" max="4868" width="19.85546875" style="1" customWidth="1"/>
    <col min="4869" max="4869" width="95.42578125" style="1" customWidth="1"/>
    <col min="4870" max="5116" width="9.140625" style="1"/>
    <col min="5117" max="5117" width="92.85546875" style="1" customWidth="1"/>
    <col min="5118" max="5118" width="14.85546875" style="1" customWidth="1"/>
    <col min="5119" max="5123" width="22.42578125" style="1" customWidth="1"/>
    <col min="5124" max="5124" width="19.85546875" style="1" customWidth="1"/>
    <col min="5125" max="5125" width="95.42578125" style="1" customWidth="1"/>
    <col min="5126" max="5372" width="9.140625" style="1"/>
    <col min="5373" max="5373" width="92.85546875" style="1" customWidth="1"/>
    <col min="5374" max="5374" width="14.85546875" style="1" customWidth="1"/>
    <col min="5375" max="5379" width="22.42578125" style="1" customWidth="1"/>
    <col min="5380" max="5380" width="19.85546875" style="1" customWidth="1"/>
    <col min="5381" max="5381" width="95.42578125" style="1" customWidth="1"/>
    <col min="5382" max="5628" width="9.140625" style="1"/>
    <col min="5629" max="5629" width="92.85546875" style="1" customWidth="1"/>
    <col min="5630" max="5630" width="14.85546875" style="1" customWidth="1"/>
    <col min="5631" max="5635" width="22.42578125" style="1" customWidth="1"/>
    <col min="5636" max="5636" width="19.85546875" style="1" customWidth="1"/>
    <col min="5637" max="5637" width="95.42578125" style="1" customWidth="1"/>
    <col min="5638" max="5884" width="9.140625" style="1"/>
    <col min="5885" max="5885" width="92.85546875" style="1" customWidth="1"/>
    <col min="5886" max="5886" width="14.85546875" style="1" customWidth="1"/>
    <col min="5887" max="5891" width="22.42578125" style="1" customWidth="1"/>
    <col min="5892" max="5892" width="19.85546875" style="1" customWidth="1"/>
    <col min="5893" max="5893" width="95.42578125" style="1" customWidth="1"/>
    <col min="5894" max="6140" width="9.140625" style="1"/>
    <col min="6141" max="6141" width="92.85546875" style="1" customWidth="1"/>
    <col min="6142" max="6142" width="14.85546875" style="1" customWidth="1"/>
    <col min="6143" max="6147" width="22.42578125" style="1" customWidth="1"/>
    <col min="6148" max="6148" width="19.85546875" style="1" customWidth="1"/>
    <col min="6149" max="6149" width="95.42578125" style="1" customWidth="1"/>
    <col min="6150" max="6396" width="9.140625" style="1"/>
    <col min="6397" max="6397" width="92.85546875" style="1" customWidth="1"/>
    <col min="6398" max="6398" width="14.85546875" style="1" customWidth="1"/>
    <col min="6399" max="6403" width="22.42578125" style="1" customWidth="1"/>
    <col min="6404" max="6404" width="19.85546875" style="1" customWidth="1"/>
    <col min="6405" max="6405" width="95.42578125" style="1" customWidth="1"/>
    <col min="6406" max="6652" width="9.140625" style="1"/>
    <col min="6653" max="6653" width="92.85546875" style="1" customWidth="1"/>
    <col min="6654" max="6654" width="14.85546875" style="1" customWidth="1"/>
    <col min="6655" max="6659" width="22.42578125" style="1" customWidth="1"/>
    <col min="6660" max="6660" width="19.85546875" style="1" customWidth="1"/>
    <col min="6661" max="6661" width="95.42578125" style="1" customWidth="1"/>
    <col min="6662" max="6908" width="9.140625" style="1"/>
    <col min="6909" max="6909" width="92.85546875" style="1" customWidth="1"/>
    <col min="6910" max="6910" width="14.85546875" style="1" customWidth="1"/>
    <col min="6911" max="6915" width="22.42578125" style="1" customWidth="1"/>
    <col min="6916" max="6916" width="19.85546875" style="1" customWidth="1"/>
    <col min="6917" max="6917" width="95.42578125" style="1" customWidth="1"/>
    <col min="6918" max="7164" width="9.140625" style="1"/>
    <col min="7165" max="7165" width="92.85546875" style="1" customWidth="1"/>
    <col min="7166" max="7166" width="14.85546875" style="1" customWidth="1"/>
    <col min="7167" max="7171" width="22.42578125" style="1" customWidth="1"/>
    <col min="7172" max="7172" width="19.85546875" style="1" customWidth="1"/>
    <col min="7173" max="7173" width="95.42578125" style="1" customWidth="1"/>
    <col min="7174" max="7420" width="9.140625" style="1"/>
    <col min="7421" max="7421" width="92.85546875" style="1" customWidth="1"/>
    <col min="7422" max="7422" width="14.85546875" style="1" customWidth="1"/>
    <col min="7423" max="7427" width="22.42578125" style="1" customWidth="1"/>
    <col min="7428" max="7428" width="19.85546875" style="1" customWidth="1"/>
    <col min="7429" max="7429" width="95.42578125" style="1" customWidth="1"/>
    <col min="7430" max="7676" width="9.140625" style="1"/>
    <col min="7677" max="7677" width="92.85546875" style="1" customWidth="1"/>
    <col min="7678" max="7678" width="14.85546875" style="1" customWidth="1"/>
    <col min="7679" max="7683" width="22.42578125" style="1" customWidth="1"/>
    <col min="7684" max="7684" width="19.85546875" style="1" customWidth="1"/>
    <col min="7685" max="7685" width="95.42578125" style="1" customWidth="1"/>
    <col min="7686" max="7932" width="9.140625" style="1"/>
    <col min="7933" max="7933" width="92.85546875" style="1" customWidth="1"/>
    <col min="7934" max="7934" width="14.85546875" style="1" customWidth="1"/>
    <col min="7935" max="7939" width="22.42578125" style="1" customWidth="1"/>
    <col min="7940" max="7940" width="19.85546875" style="1" customWidth="1"/>
    <col min="7941" max="7941" width="95.42578125" style="1" customWidth="1"/>
    <col min="7942" max="8188" width="9.140625" style="1"/>
    <col min="8189" max="8189" width="92.85546875" style="1" customWidth="1"/>
    <col min="8190" max="8190" width="14.85546875" style="1" customWidth="1"/>
    <col min="8191" max="8195" width="22.42578125" style="1" customWidth="1"/>
    <col min="8196" max="8196" width="19.85546875" style="1" customWidth="1"/>
    <col min="8197" max="8197" width="95.42578125" style="1" customWidth="1"/>
    <col min="8198" max="8444" width="9.140625" style="1"/>
    <col min="8445" max="8445" width="92.85546875" style="1" customWidth="1"/>
    <col min="8446" max="8446" width="14.85546875" style="1" customWidth="1"/>
    <col min="8447" max="8451" width="22.42578125" style="1" customWidth="1"/>
    <col min="8452" max="8452" width="19.85546875" style="1" customWidth="1"/>
    <col min="8453" max="8453" width="95.42578125" style="1" customWidth="1"/>
    <col min="8454" max="8700" width="9.140625" style="1"/>
    <col min="8701" max="8701" width="92.85546875" style="1" customWidth="1"/>
    <col min="8702" max="8702" width="14.85546875" style="1" customWidth="1"/>
    <col min="8703" max="8707" width="22.42578125" style="1" customWidth="1"/>
    <col min="8708" max="8708" width="19.85546875" style="1" customWidth="1"/>
    <col min="8709" max="8709" width="95.42578125" style="1" customWidth="1"/>
    <col min="8710" max="8956" width="9.140625" style="1"/>
    <col min="8957" max="8957" width="92.85546875" style="1" customWidth="1"/>
    <col min="8958" max="8958" width="14.85546875" style="1" customWidth="1"/>
    <col min="8959" max="8963" width="22.42578125" style="1" customWidth="1"/>
    <col min="8964" max="8964" width="19.85546875" style="1" customWidth="1"/>
    <col min="8965" max="8965" width="95.42578125" style="1" customWidth="1"/>
    <col min="8966" max="9212" width="9.140625" style="1"/>
    <col min="9213" max="9213" width="92.85546875" style="1" customWidth="1"/>
    <col min="9214" max="9214" width="14.85546875" style="1" customWidth="1"/>
    <col min="9215" max="9219" width="22.42578125" style="1" customWidth="1"/>
    <col min="9220" max="9220" width="19.85546875" style="1" customWidth="1"/>
    <col min="9221" max="9221" width="95.42578125" style="1" customWidth="1"/>
    <col min="9222" max="9468" width="9.140625" style="1"/>
    <col min="9469" max="9469" width="92.85546875" style="1" customWidth="1"/>
    <col min="9470" max="9470" width="14.85546875" style="1" customWidth="1"/>
    <col min="9471" max="9475" width="22.42578125" style="1" customWidth="1"/>
    <col min="9476" max="9476" width="19.85546875" style="1" customWidth="1"/>
    <col min="9477" max="9477" width="95.42578125" style="1" customWidth="1"/>
    <col min="9478" max="9724" width="9.140625" style="1"/>
    <col min="9725" max="9725" width="92.85546875" style="1" customWidth="1"/>
    <col min="9726" max="9726" width="14.85546875" style="1" customWidth="1"/>
    <col min="9727" max="9731" width="22.42578125" style="1" customWidth="1"/>
    <col min="9732" max="9732" width="19.85546875" style="1" customWidth="1"/>
    <col min="9733" max="9733" width="95.42578125" style="1" customWidth="1"/>
    <col min="9734" max="9980" width="9.140625" style="1"/>
    <col min="9981" max="9981" width="92.85546875" style="1" customWidth="1"/>
    <col min="9982" max="9982" width="14.85546875" style="1" customWidth="1"/>
    <col min="9983" max="9987" width="22.42578125" style="1" customWidth="1"/>
    <col min="9988" max="9988" width="19.85546875" style="1" customWidth="1"/>
    <col min="9989" max="9989" width="95.42578125" style="1" customWidth="1"/>
    <col min="9990" max="10236" width="9.140625" style="1"/>
    <col min="10237" max="10237" width="92.85546875" style="1" customWidth="1"/>
    <col min="10238" max="10238" width="14.85546875" style="1" customWidth="1"/>
    <col min="10239" max="10243" width="22.42578125" style="1" customWidth="1"/>
    <col min="10244" max="10244" width="19.85546875" style="1" customWidth="1"/>
    <col min="10245" max="10245" width="95.42578125" style="1" customWidth="1"/>
    <col min="10246" max="10492" width="9.140625" style="1"/>
    <col min="10493" max="10493" width="92.85546875" style="1" customWidth="1"/>
    <col min="10494" max="10494" width="14.85546875" style="1" customWidth="1"/>
    <col min="10495" max="10499" width="22.42578125" style="1" customWidth="1"/>
    <col min="10500" max="10500" width="19.85546875" style="1" customWidth="1"/>
    <col min="10501" max="10501" width="95.42578125" style="1" customWidth="1"/>
    <col min="10502" max="10748" width="9.140625" style="1"/>
    <col min="10749" max="10749" width="92.85546875" style="1" customWidth="1"/>
    <col min="10750" max="10750" width="14.85546875" style="1" customWidth="1"/>
    <col min="10751" max="10755" width="22.42578125" style="1" customWidth="1"/>
    <col min="10756" max="10756" width="19.85546875" style="1" customWidth="1"/>
    <col min="10757" max="10757" width="95.42578125" style="1" customWidth="1"/>
    <col min="10758" max="11004" width="9.140625" style="1"/>
    <col min="11005" max="11005" width="92.85546875" style="1" customWidth="1"/>
    <col min="11006" max="11006" width="14.85546875" style="1" customWidth="1"/>
    <col min="11007" max="11011" width="22.42578125" style="1" customWidth="1"/>
    <col min="11012" max="11012" width="19.85546875" style="1" customWidth="1"/>
    <col min="11013" max="11013" width="95.42578125" style="1" customWidth="1"/>
    <col min="11014" max="11260" width="9.140625" style="1"/>
    <col min="11261" max="11261" width="92.85546875" style="1" customWidth="1"/>
    <col min="11262" max="11262" width="14.85546875" style="1" customWidth="1"/>
    <col min="11263" max="11267" width="22.42578125" style="1" customWidth="1"/>
    <col min="11268" max="11268" width="19.85546875" style="1" customWidth="1"/>
    <col min="11269" max="11269" width="95.42578125" style="1" customWidth="1"/>
    <col min="11270" max="11516" width="9.140625" style="1"/>
    <col min="11517" max="11517" width="92.85546875" style="1" customWidth="1"/>
    <col min="11518" max="11518" width="14.85546875" style="1" customWidth="1"/>
    <col min="11519" max="11523" width="22.42578125" style="1" customWidth="1"/>
    <col min="11524" max="11524" width="19.85546875" style="1" customWidth="1"/>
    <col min="11525" max="11525" width="95.42578125" style="1" customWidth="1"/>
    <col min="11526" max="11772" width="9.140625" style="1"/>
    <col min="11773" max="11773" width="92.85546875" style="1" customWidth="1"/>
    <col min="11774" max="11774" width="14.85546875" style="1" customWidth="1"/>
    <col min="11775" max="11779" width="22.42578125" style="1" customWidth="1"/>
    <col min="11780" max="11780" width="19.85546875" style="1" customWidth="1"/>
    <col min="11781" max="11781" width="95.42578125" style="1" customWidth="1"/>
    <col min="11782" max="12028" width="9.140625" style="1"/>
    <col min="12029" max="12029" width="92.85546875" style="1" customWidth="1"/>
    <col min="12030" max="12030" width="14.85546875" style="1" customWidth="1"/>
    <col min="12031" max="12035" width="22.42578125" style="1" customWidth="1"/>
    <col min="12036" max="12036" width="19.85546875" style="1" customWidth="1"/>
    <col min="12037" max="12037" width="95.42578125" style="1" customWidth="1"/>
    <col min="12038" max="12284" width="9.140625" style="1"/>
    <col min="12285" max="12285" width="92.85546875" style="1" customWidth="1"/>
    <col min="12286" max="12286" width="14.85546875" style="1" customWidth="1"/>
    <col min="12287" max="12291" width="22.42578125" style="1" customWidth="1"/>
    <col min="12292" max="12292" width="19.85546875" style="1" customWidth="1"/>
    <col min="12293" max="12293" width="95.42578125" style="1" customWidth="1"/>
    <col min="12294" max="12540" width="9.140625" style="1"/>
    <col min="12541" max="12541" width="92.85546875" style="1" customWidth="1"/>
    <col min="12542" max="12542" width="14.85546875" style="1" customWidth="1"/>
    <col min="12543" max="12547" width="22.42578125" style="1" customWidth="1"/>
    <col min="12548" max="12548" width="19.85546875" style="1" customWidth="1"/>
    <col min="12549" max="12549" width="95.42578125" style="1" customWidth="1"/>
    <col min="12550" max="12796" width="9.140625" style="1"/>
    <col min="12797" max="12797" width="92.85546875" style="1" customWidth="1"/>
    <col min="12798" max="12798" width="14.85546875" style="1" customWidth="1"/>
    <col min="12799" max="12803" width="22.42578125" style="1" customWidth="1"/>
    <col min="12804" max="12804" width="19.85546875" style="1" customWidth="1"/>
    <col min="12805" max="12805" width="95.42578125" style="1" customWidth="1"/>
    <col min="12806" max="13052" width="9.140625" style="1"/>
    <col min="13053" max="13053" width="92.85546875" style="1" customWidth="1"/>
    <col min="13054" max="13054" width="14.85546875" style="1" customWidth="1"/>
    <col min="13055" max="13059" width="22.42578125" style="1" customWidth="1"/>
    <col min="13060" max="13060" width="19.85546875" style="1" customWidth="1"/>
    <col min="13061" max="13061" width="95.42578125" style="1" customWidth="1"/>
    <col min="13062" max="13308" width="9.140625" style="1"/>
    <col min="13309" max="13309" width="92.85546875" style="1" customWidth="1"/>
    <col min="13310" max="13310" width="14.85546875" style="1" customWidth="1"/>
    <col min="13311" max="13315" width="22.42578125" style="1" customWidth="1"/>
    <col min="13316" max="13316" width="19.85546875" style="1" customWidth="1"/>
    <col min="13317" max="13317" width="95.42578125" style="1" customWidth="1"/>
    <col min="13318" max="13564" width="9.140625" style="1"/>
    <col min="13565" max="13565" width="92.85546875" style="1" customWidth="1"/>
    <col min="13566" max="13566" width="14.85546875" style="1" customWidth="1"/>
    <col min="13567" max="13571" width="22.42578125" style="1" customWidth="1"/>
    <col min="13572" max="13572" width="19.85546875" style="1" customWidth="1"/>
    <col min="13573" max="13573" width="95.42578125" style="1" customWidth="1"/>
    <col min="13574" max="13820" width="9.140625" style="1"/>
    <col min="13821" max="13821" width="92.85546875" style="1" customWidth="1"/>
    <col min="13822" max="13822" width="14.85546875" style="1" customWidth="1"/>
    <col min="13823" max="13827" width="22.42578125" style="1" customWidth="1"/>
    <col min="13828" max="13828" width="19.85546875" style="1" customWidth="1"/>
    <col min="13829" max="13829" width="95.42578125" style="1" customWidth="1"/>
    <col min="13830" max="14076" width="9.140625" style="1"/>
    <col min="14077" max="14077" width="92.85546875" style="1" customWidth="1"/>
    <col min="14078" max="14078" width="14.85546875" style="1" customWidth="1"/>
    <col min="14079" max="14083" width="22.42578125" style="1" customWidth="1"/>
    <col min="14084" max="14084" width="19.85546875" style="1" customWidth="1"/>
    <col min="14085" max="14085" width="95.42578125" style="1" customWidth="1"/>
    <col min="14086" max="14332" width="9.140625" style="1"/>
    <col min="14333" max="14333" width="92.85546875" style="1" customWidth="1"/>
    <col min="14334" max="14334" width="14.85546875" style="1" customWidth="1"/>
    <col min="14335" max="14339" width="22.42578125" style="1" customWidth="1"/>
    <col min="14340" max="14340" width="19.85546875" style="1" customWidth="1"/>
    <col min="14341" max="14341" width="95.42578125" style="1" customWidth="1"/>
    <col min="14342" max="14588" width="9.140625" style="1"/>
    <col min="14589" max="14589" width="92.85546875" style="1" customWidth="1"/>
    <col min="14590" max="14590" width="14.85546875" style="1" customWidth="1"/>
    <col min="14591" max="14595" width="22.42578125" style="1" customWidth="1"/>
    <col min="14596" max="14596" width="19.85546875" style="1" customWidth="1"/>
    <col min="14597" max="14597" width="95.42578125" style="1" customWidth="1"/>
    <col min="14598" max="14844" width="9.140625" style="1"/>
    <col min="14845" max="14845" width="92.85546875" style="1" customWidth="1"/>
    <col min="14846" max="14846" width="14.85546875" style="1" customWidth="1"/>
    <col min="14847" max="14851" width="22.42578125" style="1" customWidth="1"/>
    <col min="14852" max="14852" width="19.85546875" style="1" customWidth="1"/>
    <col min="14853" max="14853" width="95.42578125" style="1" customWidth="1"/>
    <col min="14854" max="15100" width="9.140625" style="1"/>
    <col min="15101" max="15101" width="92.85546875" style="1" customWidth="1"/>
    <col min="15102" max="15102" width="14.85546875" style="1" customWidth="1"/>
    <col min="15103" max="15107" width="22.42578125" style="1" customWidth="1"/>
    <col min="15108" max="15108" width="19.85546875" style="1" customWidth="1"/>
    <col min="15109" max="15109" width="95.42578125" style="1" customWidth="1"/>
    <col min="15110" max="15356" width="9.140625" style="1"/>
    <col min="15357" max="15357" width="92.85546875" style="1" customWidth="1"/>
    <col min="15358" max="15358" width="14.85546875" style="1" customWidth="1"/>
    <col min="15359" max="15363" width="22.42578125" style="1" customWidth="1"/>
    <col min="15364" max="15364" width="19.85546875" style="1" customWidth="1"/>
    <col min="15365" max="15365" width="95.42578125" style="1" customWidth="1"/>
    <col min="15366" max="15612" width="9.140625" style="1"/>
    <col min="15613" max="15613" width="92.85546875" style="1" customWidth="1"/>
    <col min="15614" max="15614" width="14.85546875" style="1" customWidth="1"/>
    <col min="15615" max="15619" width="22.42578125" style="1" customWidth="1"/>
    <col min="15620" max="15620" width="19.85546875" style="1" customWidth="1"/>
    <col min="15621" max="15621" width="95.42578125" style="1" customWidth="1"/>
    <col min="15622" max="15868" width="9.140625" style="1"/>
    <col min="15869" max="15869" width="92.85546875" style="1" customWidth="1"/>
    <col min="15870" max="15870" width="14.85546875" style="1" customWidth="1"/>
    <col min="15871" max="15875" width="22.42578125" style="1" customWidth="1"/>
    <col min="15876" max="15876" width="19.85546875" style="1" customWidth="1"/>
    <col min="15877" max="15877" width="95.42578125" style="1" customWidth="1"/>
    <col min="15878" max="16124" width="9.140625" style="1"/>
    <col min="16125" max="16125" width="92.85546875" style="1" customWidth="1"/>
    <col min="16126" max="16126" width="14.85546875" style="1" customWidth="1"/>
    <col min="16127" max="16131" width="22.42578125" style="1" customWidth="1"/>
    <col min="16132" max="16132" width="19.85546875" style="1" customWidth="1"/>
    <col min="16133" max="16133" width="95.42578125" style="1" customWidth="1"/>
    <col min="16134" max="16384" width="9.140625" style="1"/>
  </cols>
  <sheetData>
    <row r="1" spans="1:27" hidden="1" outlineLevel="1" x14ac:dyDescent="0.25">
      <c r="B1" s="239"/>
      <c r="C1" s="61"/>
      <c r="D1" s="61"/>
      <c r="E1" s="61"/>
      <c r="F1" s="61"/>
      <c r="G1" s="61"/>
      <c r="H1" s="61"/>
      <c r="I1" s="62" t="s">
        <v>0</v>
      </c>
    </row>
    <row r="2" spans="1:27" hidden="1" outlineLevel="1" x14ac:dyDescent="0.25">
      <c r="B2" s="239"/>
      <c r="C2" s="61"/>
      <c r="D2" s="61"/>
      <c r="E2" s="61"/>
      <c r="F2" s="61"/>
      <c r="G2" s="61"/>
      <c r="H2" s="61"/>
      <c r="I2" s="62" t="s">
        <v>1</v>
      </c>
    </row>
    <row r="3" spans="1:27" collapsed="1" x14ac:dyDescent="0.25">
      <c r="A3" s="277" t="s">
        <v>2</v>
      </c>
      <c r="B3" s="277"/>
      <c r="C3" s="277"/>
      <c r="D3" s="277"/>
      <c r="E3" s="277"/>
      <c r="F3" s="277"/>
      <c r="G3" s="277"/>
      <c r="H3" s="277"/>
      <c r="I3" s="277"/>
      <c r="J3" s="267"/>
    </row>
    <row r="4" spans="1:27" ht="16.5" customHeight="1" x14ac:dyDescent="0.25">
      <c r="A4" s="3"/>
      <c r="B4" s="91"/>
      <c r="C4" s="238"/>
      <c r="D4" s="238"/>
      <c r="E4" s="238"/>
      <c r="F4" s="238"/>
      <c r="G4" s="238"/>
      <c r="H4" s="238"/>
      <c r="I4" s="238" t="s">
        <v>1</v>
      </c>
      <c r="J4" s="267"/>
    </row>
    <row r="5" spans="1:27" ht="39" customHeight="1" x14ac:dyDescent="0.25">
      <c r="A5" s="258" t="s">
        <v>3</v>
      </c>
      <c r="B5" s="259" t="s">
        <v>4</v>
      </c>
      <c r="C5" s="278" t="s">
        <v>5</v>
      </c>
      <c r="D5" s="278"/>
      <c r="E5" s="279" t="s">
        <v>6</v>
      </c>
      <c r="F5" s="279"/>
      <c r="G5" s="279"/>
      <c r="H5" s="279"/>
      <c r="I5" s="279"/>
      <c r="J5" s="267"/>
    </row>
    <row r="6" spans="1:27" ht="93.75" x14ac:dyDescent="0.25">
      <c r="A6" s="258"/>
      <c r="B6" s="259"/>
      <c r="C6" s="240" t="s">
        <v>443</v>
      </c>
      <c r="D6" s="240" t="s">
        <v>444</v>
      </c>
      <c r="E6" s="240" t="s">
        <v>445</v>
      </c>
      <c r="F6" s="240" t="s">
        <v>446</v>
      </c>
      <c r="G6" s="63" t="s">
        <v>7</v>
      </c>
      <c r="H6" s="63" t="s">
        <v>8</v>
      </c>
      <c r="I6" s="240" t="s">
        <v>9</v>
      </c>
      <c r="J6" s="267"/>
      <c r="K6" s="233" t="s">
        <v>435</v>
      </c>
      <c r="L6" s="233" t="s">
        <v>436</v>
      </c>
    </row>
    <row r="7" spans="1:27" x14ac:dyDescent="0.25">
      <c r="A7" s="235">
        <v>1</v>
      </c>
      <c r="B7" s="236">
        <v>2</v>
      </c>
      <c r="C7" s="85">
        <v>3</v>
      </c>
      <c r="D7" s="101">
        <v>4</v>
      </c>
      <c r="E7" s="85">
        <v>5</v>
      </c>
      <c r="F7" s="101">
        <v>6</v>
      </c>
      <c r="G7" s="85">
        <v>7</v>
      </c>
      <c r="H7" s="101">
        <v>8</v>
      </c>
      <c r="I7" s="85">
        <v>9</v>
      </c>
      <c r="J7" s="267"/>
      <c r="Y7" s="1" t="s">
        <v>435</v>
      </c>
      <c r="Z7" s="1" t="s">
        <v>436</v>
      </c>
    </row>
    <row r="8" spans="1:27" s="78" customFormat="1" ht="24.95" customHeight="1" x14ac:dyDescent="0.25">
      <c r="A8" s="268" t="s">
        <v>10</v>
      </c>
      <c r="B8" s="268"/>
      <c r="C8" s="268"/>
      <c r="D8" s="268"/>
      <c r="E8" s="268"/>
      <c r="F8" s="268"/>
      <c r="G8" s="268"/>
      <c r="H8" s="268"/>
      <c r="I8" s="268"/>
      <c r="J8" s="267"/>
      <c r="K8" s="233"/>
      <c r="L8" s="233"/>
      <c r="M8" s="147"/>
      <c r="N8" s="233"/>
      <c r="O8" s="233" t="s">
        <v>435</v>
      </c>
      <c r="P8" s="233" t="s">
        <v>436</v>
      </c>
      <c r="Q8" s="233"/>
      <c r="R8" s="233"/>
      <c r="U8" s="78" t="s">
        <v>435</v>
      </c>
      <c r="V8" s="78" t="s">
        <v>436</v>
      </c>
    </row>
    <row r="9" spans="1:27" s="78" customFormat="1" ht="42.75" customHeight="1" x14ac:dyDescent="0.25">
      <c r="A9" s="5" t="s">
        <v>11</v>
      </c>
      <c r="B9" s="6">
        <v>1000</v>
      </c>
      <c r="C9" s="9">
        <v>23257</v>
      </c>
      <c r="D9" s="9">
        <f>F9</f>
        <v>29168</v>
      </c>
      <c r="E9" s="9">
        <v>27200</v>
      </c>
      <c r="F9" s="9">
        <v>29168</v>
      </c>
      <c r="G9" s="7">
        <f>F9-E9</f>
        <v>1968</v>
      </c>
      <c r="H9" s="7">
        <f>F9/E9*100</f>
        <v>107.23529411764704</v>
      </c>
      <c r="I9" s="161" t="s">
        <v>491</v>
      </c>
      <c r="J9" s="267"/>
      <c r="K9" s="162">
        <v>3314</v>
      </c>
      <c r="L9" s="162">
        <v>4051</v>
      </c>
      <c r="M9" s="162">
        <f>SUM(K9:L9)</f>
        <v>7365</v>
      </c>
      <c r="N9" s="162">
        <f>F9-M9</f>
        <v>21803</v>
      </c>
      <c r="O9" s="233">
        <v>6490</v>
      </c>
      <c r="P9" s="233">
        <f>8081+7</f>
        <v>8088</v>
      </c>
      <c r="Q9" s="233">
        <f>SUM(O9:P9)</f>
        <v>14578</v>
      </c>
      <c r="R9" s="148">
        <f>F9-Q9</f>
        <v>14590</v>
      </c>
      <c r="U9" s="78">
        <v>9754</v>
      </c>
      <c r="V9" s="78">
        <v>12133</v>
      </c>
      <c r="W9" s="78">
        <f>SUM(U9:V9)</f>
        <v>21887</v>
      </c>
      <c r="X9" s="167">
        <f>F9-W9</f>
        <v>7281</v>
      </c>
      <c r="Y9" s="78">
        <v>13042</v>
      </c>
      <c r="Z9" s="78">
        <v>16126</v>
      </c>
      <c r="AA9" s="78">
        <f>SUM(Y9:Z9)</f>
        <v>29168</v>
      </c>
    </row>
    <row r="10" spans="1:27" ht="42.75" customHeight="1" x14ac:dyDescent="0.25">
      <c r="A10" s="241" t="s">
        <v>12</v>
      </c>
      <c r="B10" s="92">
        <v>1010</v>
      </c>
      <c r="C10" s="9">
        <f>SUM(C11:C18)</f>
        <v>20990</v>
      </c>
      <c r="D10" s="9">
        <f>F10</f>
        <v>25141</v>
      </c>
      <c r="E10" s="9">
        <f>E11+E12+E13+E14+E15+E16+E17+E18</f>
        <v>23360</v>
      </c>
      <c r="F10" s="9">
        <f>SUM(F11:F18)</f>
        <v>25141</v>
      </c>
      <c r="G10" s="7">
        <f t="shared" ref="G10:G73" si="0">F10-E10</f>
        <v>1781</v>
      </c>
      <c r="H10" s="7">
        <f t="shared" ref="H10:H36" si="1">F10/E10*100</f>
        <v>107.62414383561645</v>
      </c>
      <c r="I10" s="161" t="s">
        <v>492</v>
      </c>
      <c r="J10" s="267"/>
      <c r="K10" s="56">
        <f>SUM(K11:K18)</f>
        <v>2281</v>
      </c>
      <c r="L10" s="56">
        <f t="shared" ref="L10:N10" si="2">SUM(L11:L18)</f>
        <v>3576</v>
      </c>
      <c r="M10" s="56">
        <f t="shared" si="2"/>
        <v>5857</v>
      </c>
      <c r="N10" s="56">
        <f t="shared" si="2"/>
        <v>19284</v>
      </c>
      <c r="O10" s="234">
        <f>SUM(O11:O18)</f>
        <v>4993</v>
      </c>
      <c r="P10" s="234">
        <f>SUM(P11:P18)</f>
        <v>7039</v>
      </c>
      <c r="Q10" s="233">
        <f t="shared" ref="Q10:Q73" si="3">SUM(O10:P10)</f>
        <v>12032</v>
      </c>
      <c r="R10" s="148">
        <f t="shared" ref="R10:R21" si="4">F10-Q10</f>
        <v>13109</v>
      </c>
      <c r="U10" s="1">
        <f>SUM(U11:U18)</f>
        <v>7479</v>
      </c>
      <c r="V10" s="1">
        <f t="shared" ref="V10:X10" si="5">SUM(V11:V18)</f>
        <v>10860</v>
      </c>
      <c r="W10" s="1">
        <f t="shared" si="5"/>
        <v>18339</v>
      </c>
      <c r="X10" s="1">
        <f t="shared" si="5"/>
        <v>6802</v>
      </c>
      <c r="Y10" s="1">
        <f>SUM(Y11:Y18)</f>
        <v>10156</v>
      </c>
      <c r="Z10" s="1">
        <f t="shared" ref="Z10:AA10" si="6">SUM(Z11:Z18)</f>
        <v>14985</v>
      </c>
      <c r="AA10" s="1">
        <f t="shared" si="6"/>
        <v>25141</v>
      </c>
    </row>
    <row r="11" spans="1:27" s="79" customFormat="1" ht="101.25" x14ac:dyDescent="0.25">
      <c r="A11" s="5" t="s">
        <v>13</v>
      </c>
      <c r="B11" s="236">
        <v>1011</v>
      </c>
      <c r="C11" s="240">
        <v>372</v>
      </c>
      <c r="D11" s="7">
        <f t="shared" ref="D11:D18" si="7">F11</f>
        <v>878</v>
      </c>
      <c r="E11" s="240">
        <v>800</v>
      </c>
      <c r="F11" s="240">
        <v>878</v>
      </c>
      <c r="G11" s="7">
        <f t="shared" si="0"/>
        <v>78</v>
      </c>
      <c r="H11" s="7">
        <f t="shared" si="1"/>
        <v>109.74999999999999</v>
      </c>
      <c r="I11" s="186" t="s">
        <v>511</v>
      </c>
      <c r="J11" s="267"/>
      <c r="K11" s="242">
        <v>106</v>
      </c>
      <c r="L11" s="244">
        <v>162</v>
      </c>
      <c r="M11" s="147">
        <f t="shared" ref="M11:M73" si="8">SUM(K11:L11)</f>
        <v>268</v>
      </c>
      <c r="N11" s="148">
        <f t="shared" ref="N11:N73" si="9">F11-M11</f>
        <v>610</v>
      </c>
      <c r="O11" s="244">
        <v>155</v>
      </c>
      <c r="P11" s="244">
        <v>284</v>
      </c>
      <c r="Q11" s="233">
        <f t="shared" si="3"/>
        <v>439</v>
      </c>
      <c r="R11" s="148">
        <f t="shared" si="4"/>
        <v>439</v>
      </c>
      <c r="U11" s="79">
        <v>158</v>
      </c>
      <c r="V11" s="79">
        <v>428</v>
      </c>
      <c r="W11" s="79">
        <f>SUM(U11:V11)</f>
        <v>586</v>
      </c>
      <c r="X11" s="68">
        <f>F11-W11</f>
        <v>292</v>
      </c>
      <c r="Y11" s="79">
        <v>294</v>
      </c>
      <c r="Z11" s="79">
        <v>564</v>
      </c>
      <c r="AA11" s="79">
        <f>SUM(Y11:Z11)</f>
        <v>858</v>
      </c>
    </row>
    <row r="12" spans="1:27" s="79" customFormat="1" ht="33.75" x14ac:dyDescent="0.25">
      <c r="A12" s="5" t="s">
        <v>14</v>
      </c>
      <c r="B12" s="236">
        <v>1012</v>
      </c>
      <c r="C12" s="240">
        <v>2061</v>
      </c>
      <c r="D12" s="7">
        <f t="shared" si="7"/>
        <v>1843</v>
      </c>
      <c r="E12" s="240">
        <v>2600</v>
      </c>
      <c r="F12" s="240">
        <v>1843</v>
      </c>
      <c r="G12" s="7">
        <f t="shared" si="0"/>
        <v>-757</v>
      </c>
      <c r="H12" s="7">
        <f t="shared" si="1"/>
        <v>70.884615384615373</v>
      </c>
      <c r="I12" s="186" t="s">
        <v>472</v>
      </c>
      <c r="J12" s="267"/>
      <c r="K12" s="244">
        <v>515</v>
      </c>
      <c r="L12" s="244">
        <v>13</v>
      </c>
      <c r="M12" s="147">
        <f t="shared" si="8"/>
        <v>528</v>
      </c>
      <c r="N12" s="148">
        <f t="shared" si="9"/>
        <v>1315</v>
      </c>
      <c r="O12" s="244">
        <v>961</v>
      </c>
      <c r="P12" s="244">
        <v>32</v>
      </c>
      <c r="Q12" s="233">
        <f t="shared" si="3"/>
        <v>993</v>
      </c>
      <c r="R12" s="148">
        <f t="shared" si="4"/>
        <v>850</v>
      </c>
      <c r="U12" s="79">
        <v>1396</v>
      </c>
      <c r="V12" s="79">
        <v>52</v>
      </c>
      <c r="W12" s="79">
        <f t="shared" ref="W12:W18" si="10">SUM(U12:V12)</f>
        <v>1448</v>
      </c>
      <c r="X12" s="68">
        <f>F12-W12</f>
        <v>395</v>
      </c>
      <c r="Y12" s="79">
        <v>1770</v>
      </c>
      <c r="Z12" s="79">
        <v>73</v>
      </c>
      <c r="AA12" s="79">
        <f t="shared" ref="AA12:AA18" si="11">SUM(Y12:Z12)</f>
        <v>1843</v>
      </c>
    </row>
    <row r="13" spans="1:27" s="79" customFormat="1" ht="45" x14ac:dyDescent="0.25">
      <c r="A13" s="5" t="s">
        <v>15</v>
      </c>
      <c r="B13" s="236">
        <v>1013</v>
      </c>
      <c r="C13" s="240">
        <v>2976</v>
      </c>
      <c r="D13" s="7">
        <f t="shared" si="7"/>
        <v>2695</v>
      </c>
      <c r="E13" s="240">
        <v>3640</v>
      </c>
      <c r="F13" s="240">
        <v>2695</v>
      </c>
      <c r="G13" s="7">
        <f t="shared" si="0"/>
        <v>-945</v>
      </c>
      <c r="H13" s="7">
        <f t="shared" si="1"/>
        <v>74.038461538461547</v>
      </c>
      <c r="I13" s="186" t="s">
        <v>473</v>
      </c>
      <c r="J13" s="267"/>
      <c r="K13" s="244">
        <v>0</v>
      </c>
      <c r="L13" s="244">
        <v>729</v>
      </c>
      <c r="M13" s="147">
        <f t="shared" si="8"/>
        <v>729</v>
      </c>
      <c r="N13" s="148">
        <f t="shared" si="9"/>
        <v>1966</v>
      </c>
      <c r="O13" s="244">
        <v>0</v>
      </c>
      <c r="P13" s="244">
        <v>1397</v>
      </c>
      <c r="Q13" s="233">
        <f t="shared" si="3"/>
        <v>1397</v>
      </c>
      <c r="R13" s="148">
        <f t="shared" si="4"/>
        <v>1298</v>
      </c>
      <c r="U13" s="79">
        <v>21</v>
      </c>
      <c r="V13" s="79">
        <v>1975</v>
      </c>
      <c r="W13" s="79">
        <f t="shared" si="10"/>
        <v>1996</v>
      </c>
      <c r="X13" s="68">
        <f t="shared" ref="X13:X19" si="12">F13-W13</f>
        <v>699</v>
      </c>
      <c r="Y13" s="79">
        <v>33</v>
      </c>
      <c r="Z13" s="79">
        <v>2662</v>
      </c>
      <c r="AA13" s="79">
        <f t="shared" si="11"/>
        <v>2695</v>
      </c>
    </row>
    <row r="14" spans="1:27" s="79" customFormat="1" ht="33.75" x14ac:dyDescent="0.25">
      <c r="A14" s="5" t="s">
        <v>16</v>
      </c>
      <c r="B14" s="236">
        <v>1014</v>
      </c>
      <c r="C14" s="240">
        <v>5243</v>
      </c>
      <c r="D14" s="7">
        <f t="shared" si="7"/>
        <v>5908</v>
      </c>
      <c r="E14" s="240">
        <v>6000</v>
      </c>
      <c r="F14" s="240">
        <v>5908</v>
      </c>
      <c r="G14" s="7">
        <f t="shared" si="0"/>
        <v>-92</v>
      </c>
      <c r="H14" s="7">
        <f t="shared" si="1"/>
        <v>98.466666666666669</v>
      </c>
      <c r="I14" s="186" t="s">
        <v>474</v>
      </c>
      <c r="J14" s="267"/>
      <c r="K14" s="244">
        <v>497</v>
      </c>
      <c r="L14" s="244">
        <v>967</v>
      </c>
      <c r="M14" s="147">
        <f t="shared" si="8"/>
        <v>1464</v>
      </c>
      <c r="N14" s="148">
        <f t="shared" si="9"/>
        <v>4444</v>
      </c>
      <c r="O14" s="244">
        <v>984</v>
      </c>
      <c r="P14" s="244">
        <v>1958</v>
      </c>
      <c r="Q14" s="233">
        <f t="shared" si="3"/>
        <v>2942</v>
      </c>
      <c r="R14" s="148">
        <f t="shared" si="4"/>
        <v>2966</v>
      </c>
      <c r="U14" s="79">
        <v>1473</v>
      </c>
      <c r="V14" s="79">
        <v>2967</v>
      </c>
      <c r="W14" s="79">
        <f t="shared" si="10"/>
        <v>4440</v>
      </c>
      <c r="X14" s="68">
        <f t="shared" si="12"/>
        <v>1468</v>
      </c>
      <c r="Y14" s="79">
        <v>1956</v>
      </c>
      <c r="Z14" s="79">
        <v>3952</v>
      </c>
      <c r="AA14" s="79">
        <f t="shared" si="11"/>
        <v>5908</v>
      </c>
    </row>
    <row r="15" spans="1:27" s="79" customFormat="1" ht="22.5" x14ac:dyDescent="0.25">
      <c r="A15" s="5" t="s">
        <v>17</v>
      </c>
      <c r="B15" s="236">
        <v>1015</v>
      </c>
      <c r="C15" s="240">
        <v>1110</v>
      </c>
      <c r="D15" s="7">
        <f t="shared" si="7"/>
        <v>1260</v>
      </c>
      <c r="E15" s="240">
        <v>1320</v>
      </c>
      <c r="F15" s="240">
        <v>1260</v>
      </c>
      <c r="G15" s="7">
        <f t="shared" si="0"/>
        <v>-60</v>
      </c>
      <c r="H15" s="7">
        <f t="shared" si="1"/>
        <v>95.454545454545453</v>
      </c>
      <c r="I15" s="186" t="s">
        <v>475</v>
      </c>
      <c r="J15" s="267"/>
      <c r="K15" s="244">
        <v>102</v>
      </c>
      <c r="L15" s="244">
        <v>210</v>
      </c>
      <c r="M15" s="147">
        <f t="shared" si="8"/>
        <v>312</v>
      </c>
      <c r="N15" s="148">
        <f t="shared" si="9"/>
        <v>948</v>
      </c>
      <c r="O15" s="244">
        <v>203</v>
      </c>
      <c r="P15" s="244">
        <v>423</v>
      </c>
      <c r="Q15" s="233">
        <f t="shared" si="3"/>
        <v>626</v>
      </c>
      <c r="R15" s="148">
        <f t="shared" si="4"/>
        <v>634</v>
      </c>
      <c r="U15" s="79">
        <v>304</v>
      </c>
      <c r="V15" s="79">
        <v>643</v>
      </c>
      <c r="W15" s="79">
        <f t="shared" si="10"/>
        <v>947</v>
      </c>
      <c r="X15" s="68">
        <f t="shared" si="12"/>
        <v>313</v>
      </c>
      <c r="Y15" s="79">
        <v>403</v>
      </c>
      <c r="Z15" s="79">
        <v>857</v>
      </c>
      <c r="AA15" s="79">
        <f t="shared" si="11"/>
        <v>1260</v>
      </c>
    </row>
    <row r="16" spans="1:27" s="79" customFormat="1" ht="135" x14ac:dyDescent="0.25">
      <c r="A16" s="5" t="s">
        <v>18</v>
      </c>
      <c r="B16" s="236">
        <v>1016</v>
      </c>
      <c r="C16" s="240">
        <v>5109</v>
      </c>
      <c r="D16" s="7">
        <f t="shared" si="7"/>
        <v>8312</v>
      </c>
      <c r="E16" s="240">
        <v>4000</v>
      </c>
      <c r="F16" s="240">
        <v>8312</v>
      </c>
      <c r="G16" s="7">
        <f t="shared" si="0"/>
        <v>4312</v>
      </c>
      <c r="H16" s="7">
        <f t="shared" si="1"/>
        <v>207.79999999999998</v>
      </c>
      <c r="I16" s="186" t="s">
        <v>512</v>
      </c>
      <c r="J16" s="267"/>
      <c r="K16" s="244">
        <v>128</v>
      </c>
      <c r="L16" s="244">
        <v>1490</v>
      </c>
      <c r="M16" s="147">
        <f t="shared" si="8"/>
        <v>1618</v>
      </c>
      <c r="N16" s="148">
        <f t="shared" si="9"/>
        <v>6694</v>
      </c>
      <c r="O16" s="244">
        <v>805</v>
      </c>
      <c r="P16" s="244">
        <v>2929</v>
      </c>
      <c r="Q16" s="233">
        <f t="shared" si="3"/>
        <v>3734</v>
      </c>
      <c r="R16" s="148">
        <f t="shared" si="4"/>
        <v>4578</v>
      </c>
      <c r="U16" s="79">
        <v>1009</v>
      </c>
      <c r="V16" s="79">
        <v>4776</v>
      </c>
      <c r="W16" s="79">
        <f t="shared" si="10"/>
        <v>5785</v>
      </c>
      <c r="X16" s="68">
        <f t="shared" si="12"/>
        <v>2527</v>
      </c>
      <c r="Y16" s="79">
        <v>1480</v>
      </c>
      <c r="Z16" s="79">
        <v>6852</v>
      </c>
      <c r="AA16" s="79">
        <f t="shared" si="11"/>
        <v>8332</v>
      </c>
    </row>
    <row r="17" spans="1:27" s="79" customFormat="1" ht="22.5" x14ac:dyDescent="0.25">
      <c r="A17" s="245" t="s">
        <v>19</v>
      </c>
      <c r="B17" s="236">
        <v>1017</v>
      </c>
      <c r="C17" s="240">
        <v>632</v>
      </c>
      <c r="D17" s="7">
        <f t="shared" si="7"/>
        <v>657</v>
      </c>
      <c r="E17" s="240">
        <v>1000</v>
      </c>
      <c r="F17" s="240">
        <v>657</v>
      </c>
      <c r="G17" s="7">
        <f t="shared" si="0"/>
        <v>-343</v>
      </c>
      <c r="H17" s="7">
        <f t="shared" si="1"/>
        <v>65.7</v>
      </c>
      <c r="I17" s="186" t="s">
        <v>476</v>
      </c>
      <c r="J17" s="267"/>
      <c r="K17" s="244">
        <v>162</v>
      </c>
      <c r="L17" s="244">
        <v>1</v>
      </c>
      <c r="M17" s="147">
        <f t="shared" si="8"/>
        <v>163</v>
      </c>
      <c r="N17" s="148">
        <f t="shared" si="9"/>
        <v>494</v>
      </c>
      <c r="O17" s="244">
        <v>324</v>
      </c>
      <c r="P17" s="244">
        <v>10</v>
      </c>
      <c r="Q17" s="233">
        <f t="shared" si="3"/>
        <v>334</v>
      </c>
      <c r="R17" s="148">
        <f t="shared" si="4"/>
        <v>323</v>
      </c>
      <c r="U17" s="79">
        <v>485</v>
      </c>
      <c r="V17" s="79">
        <v>11</v>
      </c>
      <c r="W17" s="79">
        <f t="shared" si="10"/>
        <v>496</v>
      </c>
      <c r="X17" s="68">
        <f t="shared" si="12"/>
        <v>161</v>
      </c>
      <c r="Y17" s="79">
        <v>645</v>
      </c>
      <c r="Z17" s="79">
        <v>12</v>
      </c>
      <c r="AA17" s="79">
        <f t="shared" si="11"/>
        <v>657</v>
      </c>
    </row>
    <row r="18" spans="1:27" s="79" customFormat="1" ht="45" x14ac:dyDescent="0.25">
      <c r="A18" s="245" t="s">
        <v>20</v>
      </c>
      <c r="B18" s="236">
        <v>1018</v>
      </c>
      <c r="C18" s="240">
        <v>3487</v>
      </c>
      <c r="D18" s="7">
        <f t="shared" si="7"/>
        <v>3588</v>
      </c>
      <c r="E18" s="240">
        <v>4000</v>
      </c>
      <c r="F18" s="240">
        <v>3588</v>
      </c>
      <c r="G18" s="7">
        <f t="shared" si="0"/>
        <v>-412</v>
      </c>
      <c r="H18" s="7">
        <f t="shared" si="1"/>
        <v>89.7</v>
      </c>
      <c r="I18" s="186" t="s">
        <v>477</v>
      </c>
      <c r="J18" s="267"/>
      <c r="K18" s="244">
        <v>771</v>
      </c>
      <c r="L18" s="244">
        <v>4</v>
      </c>
      <c r="M18" s="147">
        <f t="shared" si="8"/>
        <v>775</v>
      </c>
      <c r="N18" s="148">
        <f t="shared" si="9"/>
        <v>2813</v>
      </c>
      <c r="O18" s="244">
        <v>1561</v>
      </c>
      <c r="P18" s="244">
        <v>6</v>
      </c>
      <c r="Q18" s="233">
        <f t="shared" si="3"/>
        <v>1567</v>
      </c>
      <c r="R18" s="148">
        <f t="shared" si="4"/>
        <v>2021</v>
      </c>
      <c r="U18" s="79">
        <v>2633</v>
      </c>
      <c r="V18" s="79">
        <v>8</v>
      </c>
      <c r="W18" s="79">
        <f t="shared" si="10"/>
        <v>2641</v>
      </c>
      <c r="X18" s="68">
        <f t="shared" si="12"/>
        <v>947</v>
      </c>
      <c r="Y18" s="79">
        <v>3575</v>
      </c>
      <c r="Z18" s="79">
        <v>13</v>
      </c>
      <c r="AA18" s="79">
        <f t="shared" si="11"/>
        <v>3588</v>
      </c>
    </row>
    <row r="19" spans="1:27" s="78" customFormat="1" ht="33.75" x14ac:dyDescent="0.25">
      <c r="A19" s="58" t="s">
        <v>21</v>
      </c>
      <c r="B19" s="92">
        <v>1020</v>
      </c>
      <c r="C19" s="9">
        <f>C9-C10</f>
        <v>2267</v>
      </c>
      <c r="D19" s="9">
        <f>D9-D10</f>
        <v>4027</v>
      </c>
      <c r="E19" s="9">
        <f>E9-E10</f>
        <v>3840</v>
      </c>
      <c r="F19" s="9">
        <f>F9-F10</f>
        <v>4027</v>
      </c>
      <c r="G19" s="7">
        <f t="shared" si="0"/>
        <v>187</v>
      </c>
      <c r="H19" s="7">
        <f t="shared" si="1"/>
        <v>104.86979166666666</v>
      </c>
      <c r="I19" s="186" t="s">
        <v>478</v>
      </c>
      <c r="J19" s="267"/>
      <c r="K19" s="148">
        <f>K9-K10</f>
        <v>1033</v>
      </c>
      <c r="L19" s="148">
        <f>L9-L10</f>
        <v>475</v>
      </c>
      <c r="M19" s="147">
        <f t="shared" si="8"/>
        <v>1508</v>
      </c>
      <c r="N19" s="148">
        <f t="shared" si="9"/>
        <v>2519</v>
      </c>
      <c r="O19" s="233">
        <f>O9-O10</f>
        <v>1497</v>
      </c>
      <c r="P19" s="233">
        <f>P9-P10</f>
        <v>1049</v>
      </c>
      <c r="Q19" s="233">
        <f t="shared" si="3"/>
        <v>2546</v>
      </c>
      <c r="R19" s="148">
        <f t="shared" si="4"/>
        <v>1481</v>
      </c>
      <c r="U19" s="78">
        <f>U9-U10</f>
        <v>2275</v>
      </c>
      <c r="V19" s="78">
        <f t="shared" ref="V19:W19" si="13">V9-V10</f>
        <v>1273</v>
      </c>
      <c r="W19" s="78">
        <f t="shared" si="13"/>
        <v>3548</v>
      </c>
      <c r="X19" s="68">
        <f t="shared" si="12"/>
        <v>479</v>
      </c>
      <c r="Y19" s="78">
        <f>Y9-Y10</f>
        <v>2886</v>
      </c>
      <c r="Z19" s="78">
        <f t="shared" ref="Z19:AA19" si="14">Z9-Z10</f>
        <v>1141</v>
      </c>
      <c r="AA19" s="78">
        <f t="shared" si="14"/>
        <v>4027</v>
      </c>
    </row>
    <row r="20" spans="1:27" ht="91.5" customHeight="1" x14ac:dyDescent="0.25">
      <c r="A20" s="245" t="s">
        <v>22</v>
      </c>
      <c r="B20" s="6">
        <v>1030</v>
      </c>
      <c r="C20" s="7">
        <v>5119</v>
      </c>
      <c r="D20" s="9">
        <f>F20</f>
        <v>958</v>
      </c>
      <c r="E20" s="7">
        <v>1200</v>
      </c>
      <c r="F20" s="9">
        <v>958</v>
      </c>
      <c r="G20" s="7">
        <f t="shared" si="0"/>
        <v>-242</v>
      </c>
      <c r="H20" s="7">
        <f t="shared" si="1"/>
        <v>79.833333333333329</v>
      </c>
      <c r="I20" s="186" t="s">
        <v>509</v>
      </c>
      <c r="J20" s="267"/>
      <c r="K20" s="56">
        <f>F20-L20</f>
        <v>958</v>
      </c>
      <c r="L20" s="234">
        <v>0</v>
      </c>
      <c r="M20" s="147">
        <f t="shared" si="8"/>
        <v>958</v>
      </c>
      <c r="N20" s="148">
        <f t="shared" si="9"/>
        <v>0</v>
      </c>
      <c r="O20" s="234">
        <v>451</v>
      </c>
      <c r="P20" s="234">
        <v>0</v>
      </c>
      <c r="Q20" s="233">
        <f t="shared" si="3"/>
        <v>451</v>
      </c>
      <c r="R20" s="148">
        <f t="shared" si="4"/>
        <v>507</v>
      </c>
      <c r="U20" s="1">
        <v>728</v>
      </c>
      <c r="V20" s="1">
        <v>0</v>
      </c>
      <c r="W20" s="1">
        <f>SUM(U20:V20)</f>
        <v>728</v>
      </c>
      <c r="X20" s="67">
        <f>F20-W20</f>
        <v>230</v>
      </c>
      <c r="Y20" s="1">
        <v>958</v>
      </c>
      <c r="Z20" s="1">
        <v>0</v>
      </c>
      <c r="AA20" s="78">
        <f>SUM(Y20:Z20)</f>
        <v>958</v>
      </c>
    </row>
    <row r="21" spans="1:27" ht="20.100000000000001" customHeight="1" x14ac:dyDescent="0.25">
      <c r="A21" s="245" t="s">
        <v>23</v>
      </c>
      <c r="B21" s="6">
        <v>1031</v>
      </c>
      <c r="C21" s="7">
        <v>0</v>
      </c>
      <c r="D21" s="9">
        <f>F21</f>
        <v>0</v>
      </c>
      <c r="E21" s="7">
        <v>0</v>
      </c>
      <c r="F21" s="9">
        <v>0</v>
      </c>
      <c r="G21" s="7">
        <f t="shared" si="0"/>
        <v>0</v>
      </c>
      <c r="H21" s="7" t="e">
        <f t="shared" si="1"/>
        <v>#DIV/0!</v>
      </c>
      <c r="I21" s="144"/>
      <c r="J21" s="267"/>
      <c r="M21" s="147">
        <f t="shared" si="8"/>
        <v>0</v>
      </c>
      <c r="N21" s="148">
        <f t="shared" si="9"/>
        <v>0</v>
      </c>
      <c r="Q21" s="233">
        <f t="shared" si="3"/>
        <v>0</v>
      </c>
      <c r="R21" s="148">
        <f t="shared" si="4"/>
        <v>0</v>
      </c>
      <c r="X21" s="67">
        <f t="shared" ref="X21:X22" si="15">F21-W21</f>
        <v>0</v>
      </c>
    </row>
    <row r="22" spans="1:27" s="78" customFormat="1" ht="38.25" x14ac:dyDescent="0.25">
      <c r="A22" s="58" t="s">
        <v>24</v>
      </c>
      <c r="B22" s="92">
        <v>1040</v>
      </c>
      <c r="C22" s="9">
        <f>SUM(C23:C44)</f>
        <v>3224</v>
      </c>
      <c r="D22" s="9">
        <f t="shared" ref="D22" si="16">F22</f>
        <v>3433</v>
      </c>
      <c r="E22" s="9">
        <f>SUM(E23:E44)</f>
        <v>3788</v>
      </c>
      <c r="F22" s="9">
        <f>SUM(F23:F44)</f>
        <v>3433</v>
      </c>
      <c r="G22" s="7">
        <f t="shared" si="0"/>
        <v>-355</v>
      </c>
      <c r="H22" s="7">
        <f t="shared" si="1"/>
        <v>90.628299894403369</v>
      </c>
      <c r="I22" s="144" t="s">
        <v>493</v>
      </c>
      <c r="J22" s="267"/>
      <c r="K22" s="147">
        <f>SUM(K23:K44)</f>
        <v>378.22708</v>
      </c>
      <c r="L22" s="147">
        <f>F22-K22</f>
        <v>3054.7729199999999</v>
      </c>
      <c r="M22" s="147">
        <f t="shared" si="8"/>
        <v>3433</v>
      </c>
      <c r="N22" s="148">
        <f t="shared" si="9"/>
        <v>0</v>
      </c>
      <c r="O22" s="147">
        <f>SUM(O23:O44)</f>
        <v>720.82820000000004</v>
      </c>
      <c r="P22" s="147">
        <f>SUM(P23:P44)</f>
        <v>991</v>
      </c>
      <c r="Q22" s="147">
        <f t="shared" si="3"/>
        <v>1711.8281999999999</v>
      </c>
      <c r="R22" s="147">
        <f>F22-Q22</f>
        <v>1721.1718000000001</v>
      </c>
      <c r="U22" s="78">
        <f>SUM(U23:U44)</f>
        <v>1056</v>
      </c>
      <c r="V22" s="78">
        <f t="shared" ref="V22:W22" si="17">SUM(V23:V44)</f>
        <v>1517</v>
      </c>
      <c r="W22" s="78">
        <f t="shared" si="17"/>
        <v>2573</v>
      </c>
      <c r="X22" s="67">
        <f t="shared" si="15"/>
        <v>860</v>
      </c>
      <c r="Y22" s="183">
        <f>SUM(Y23:Y44)</f>
        <v>1386.5886999999998</v>
      </c>
      <c r="Z22" s="183">
        <f>SUM(Z23:Z44)</f>
        <v>2046</v>
      </c>
      <c r="AA22" s="183">
        <f>SUM(Y22:Z22)</f>
        <v>3432.5886999999998</v>
      </c>
    </row>
    <row r="23" spans="1:27" ht="38.25" x14ac:dyDescent="0.25">
      <c r="A23" s="245" t="s">
        <v>25</v>
      </c>
      <c r="B23" s="6">
        <v>1041</v>
      </c>
      <c r="C23" s="7">
        <v>92</v>
      </c>
      <c r="D23" s="9">
        <f t="shared" ref="D23:D31" si="18">F23</f>
        <v>69</v>
      </c>
      <c r="E23" s="7">
        <v>160</v>
      </c>
      <c r="F23" s="9">
        <v>69</v>
      </c>
      <c r="G23" s="7">
        <f t="shared" si="0"/>
        <v>-91</v>
      </c>
      <c r="H23" s="7">
        <f t="shared" si="1"/>
        <v>43.125</v>
      </c>
      <c r="I23" s="144" t="s">
        <v>479</v>
      </c>
      <c r="J23" s="267"/>
      <c r="K23" s="151">
        <v>7</v>
      </c>
      <c r="L23" s="149">
        <v>10</v>
      </c>
      <c r="M23" s="147">
        <f t="shared" si="8"/>
        <v>17</v>
      </c>
      <c r="N23" s="148">
        <f t="shared" si="9"/>
        <v>52</v>
      </c>
      <c r="O23" s="149">
        <f>F23*0.4178</f>
        <v>28.828199999999999</v>
      </c>
      <c r="P23" s="149">
        <v>24</v>
      </c>
      <c r="Q23" s="147">
        <f t="shared" si="3"/>
        <v>52.828199999999995</v>
      </c>
      <c r="R23" s="147">
        <f t="shared" ref="R23:R69" si="19">F23-Q23</f>
        <v>16.171800000000005</v>
      </c>
      <c r="S23" s="154"/>
      <c r="U23" s="1">
        <v>24</v>
      </c>
      <c r="V23" s="1">
        <v>34</v>
      </c>
      <c r="W23" s="1">
        <f>SUM(U23:V23)</f>
        <v>58</v>
      </c>
      <c r="X23" s="67">
        <f>F23-W23</f>
        <v>11</v>
      </c>
      <c r="Y23" s="184">
        <f>F23*0.4039</f>
        <v>27.8691</v>
      </c>
      <c r="Z23" s="184">
        <v>41</v>
      </c>
      <c r="AA23" s="183">
        <f>SUM(Y23:Z23)</f>
        <v>68.869100000000003</v>
      </c>
    </row>
    <row r="24" spans="1:27" ht="20.100000000000001" customHeight="1" x14ac:dyDescent="0.25">
      <c r="A24" s="245" t="s">
        <v>26</v>
      </c>
      <c r="B24" s="6">
        <v>1042</v>
      </c>
      <c r="C24" s="7">
        <v>0</v>
      </c>
      <c r="D24" s="9">
        <f t="shared" si="18"/>
        <v>0</v>
      </c>
      <c r="E24" s="7">
        <v>0</v>
      </c>
      <c r="F24" s="9">
        <v>0</v>
      </c>
      <c r="G24" s="7">
        <f t="shared" si="0"/>
        <v>0</v>
      </c>
      <c r="H24" s="7">
        <v>0</v>
      </c>
      <c r="I24" s="144"/>
      <c r="J24" s="267"/>
      <c r="K24" s="151"/>
      <c r="L24" s="149"/>
      <c r="M24" s="147">
        <f t="shared" si="8"/>
        <v>0</v>
      </c>
      <c r="N24" s="148">
        <f t="shared" si="9"/>
        <v>0</v>
      </c>
      <c r="O24" s="149"/>
      <c r="P24" s="149"/>
      <c r="Q24" s="147">
        <f t="shared" si="3"/>
        <v>0</v>
      </c>
      <c r="R24" s="147">
        <f t="shared" si="19"/>
        <v>0</v>
      </c>
      <c r="S24" s="154"/>
      <c r="W24" s="1">
        <f t="shared" ref="W24:W87" si="20">SUM(U24:V24)</f>
        <v>0</v>
      </c>
      <c r="X24" s="67">
        <f t="shared" ref="X24:X87" si="21">F24-W24</f>
        <v>0</v>
      </c>
      <c r="Y24" s="184">
        <f t="shared" ref="Y24:Y44" si="22">F24*0.4039</f>
        <v>0</v>
      </c>
      <c r="Z24" s="184"/>
      <c r="AA24" s="183">
        <f t="shared" ref="AA24:AA44" si="23">SUM(Y24:Z24)</f>
        <v>0</v>
      </c>
    </row>
    <row r="25" spans="1:27" ht="20.100000000000001" customHeight="1" x14ac:dyDescent="0.25">
      <c r="A25" s="245" t="s">
        <v>27</v>
      </c>
      <c r="B25" s="6">
        <v>1043</v>
      </c>
      <c r="C25" s="7">
        <v>0</v>
      </c>
      <c r="D25" s="9">
        <f t="shared" si="18"/>
        <v>0</v>
      </c>
      <c r="E25" s="7">
        <v>0</v>
      </c>
      <c r="F25" s="9">
        <v>0</v>
      </c>
      <c r="G25" s="7">
        <f t="shared" si="0"/>
        <v>0</v>
      </c>
      <c r="H25" s="7">
        <v>0</v>
      </c>
      <c r="I25" s="144"/>
      <c r="J25" s="267"/>
      <c r="K25" s="151"/>
      <c r="L25" s="149"/>
      <c r="M25" s="147">
        <f t="shared" si="8"/>
        <v>0</v>
      </c>
      <c r="N25" s="148">
        <f t="shared" si="9"/>
        <v>0</v>
      </c>
      <c r="O25" s="149"/>
      <c r="P25" s="149"/>
      <c r="Q25" s="147">
        <f t="shared" si="3"/>
        <v>0</v>
      </c>
      <c r="R25" s="147">
        <f t="shared" si="19"/>
        <v>0</v>
      </c>
      <c r="S25" s="154"/>
      <c r="W25" s="1">
        <f t="shared" si="20"/>
        <v>0</v>
      </c>
      <c r="X25" s="67">
        <f t="shared" si="21"/>
        <v>0</v>
      </c>
      <c r="Y25" s="184">
        <f t="shared" si="22"/>
        <v>0</v>
      </c>
      <c r="Z25" s="184"/>
      <c r="AA25" s="183">
        <f t="shared" si="23"/>
        <v>0</v>
      </c>
    </row>
    <row r="26" spans="1:27" ht="20.100000000000001" customHeight="1" x14ac:dyDescent="0.25">
      <c r="A26" s="245" t="s">
        <v>28</v>
      </c>
      <c r="B26" s="6">
        <v>1044</v>
      </c>
      <c r="C26" s="7">
        <v>0</v>
      </c>
      <c r="D26" s="9">
        <f t="shared" si="18"/>
        <v>0</v>
      </c>
      <c r="E26" s="7">
        <v>0</v>
      </c>
      <c r="F26" s="9">
        <v>0</v>
      </c>
      <c r="G26" s="7">
        <f t="shared" si="0"/>
        <v>0</v>
      </c>
      <c r="H26" s="7">
        <v>0</v>
      </c>
      <c r="I26" s="144"/>
      <c r="J26" s="267"/>
      <c r="K26" s="151"/>
      <c r="L26" s="149"/>
      <c r="M26" s="147">
        <f t="shared" si="8"/>
        <v>0</v>
      </c>
      <c r="N26" s="148">
        <f t="shared" si="9"/>
        <v>0</v>
      </c>
      <c r="O26" s="149"/>
      <c r="P26" s="149"/>
      <c r="Q26" s="147">
        <f t="shared" si="3"/>
        <v>0</v>
      </c>
      <c r="R26" s="147">
        <f t="shared" si="19"/>
        <v>0</v>
      </c>
      <c r="S26" s="154"/>
      <c r="W26" s="1">
        <f t="shared" si="20"/>
        <v>0</v>
      </c>
      <c r="X26" s="67">
        <f t="shared" si="21"/>
        <v>0</v>
      </c>
      <c r="Y26" s="184">
        <f t="shared" si="22"/>
        <v>0</v>
      </c>
      <c r="Z26" s="184"/>
      <c r="AA26" s="183">
        <f t="shared" si="23"/>
        <v>0</v>
      </c>
    </row>
    <row r="27" spans="1:27" x14ac:dyDescent="0.25">
      <c r="A27" s="245" t="s">
        <v>29</v>
      </c>
      <c r="B27" s="6">
        <v>1045</v>
      </c>
      <c r="C27" s="7">
        <v>0</v>
      </c>
      <c r="D27" s="9">
        <f t="shared" si="18"/>
        <v>0</v>
      </c>
      <c r="E27" s="7">
        <v>0</v>
      </c>
      <c r="F27" s="9">
        <v>0</v>
      </c>
      <c r="G27" s="7">
        <f t="shared" si="0"/>
        <v>0</v>
      </c>
      <c r="H27" s="7">
        <v>0</v>
      </c>
      <c r="I27" s="144"/>
      <c r="J27" s="267"/>
      <c r="K27" s="151"/>
      <c r="L27" s="149"/>
      <c r="M27" s="147">
        <f t="shared" si="8"/>
        <v>0</v>
      </c>
      <c r="N27" s="148">
        <f t="shared" si="9"/>
        <v>0</v>
      </c>
      <c r="O27" s="149"/>
      <c r="P27" s="149"/>
      <c r="Q27" s="147">
        <f t="shared" si="3"/>
        <v>0</v>
      </c>
      <c r="R27" s="147">
        <f t="shared" si="19"/>
        <v>0</v>
      </c>
      <c r="S27" s="154"/>
      <c r="W27" s="1">
        <f t="shared" si="20"/>
        <v>0</v>
      </c>
      <c r="X27" s="67">
        <f t="shared" si="21"/>
        <v>0</v>
      </c>
      <c r="Y27" s="184">
        <f t="shared" si="22"/>
        <v>0</v>
      </c>
      <c r="Z27" s="184"/>
      <c r="AA27" s="183">
        <f t="shared" si="23"/>
        <v>0</v>
      </c>
    </row>
    <row r="28" spans="1:27" s="79" customFormat="1" x14ac:dyDescent="0.25">
      <c r="A28" s="245" t="s">
        <v>30</v>
      </c>
      <c r="B28" s="6">
        <v>1046</v>
      </c>
      <c r="C28" s="7">
        <v>5</v>
      </c>
      <c r="D28" s="9">
        <f t="shared" si="18"/>
        <v>0</v>
      </c>
      <c r="E28" s="7">
        <v>8</v>
      </c>
      <c r="F28" s="9">
        <v>0</v>
      </c>
      <c r="G28" s="7">
        <f t="shared" si="0"/>
        <v>-8</v>
      </c>
      <c r="H28" s="7">
        <f t="shared" si="1"/>
        <v>0</v>
      </c>
      <c r="I28" s="144"/>
      <c r="J28" s="267"/>
      <c r="K28" s="152">
        <f>F28*0.50996</f>
        <v>0</v>
      </c>
      <c r="L28" s="150">
        <v>0</v>
      </c>
      <c r="M28" s="147">
        <v>0</v>
      </c>
      <c r="N28" s="148">
        <f>F28-M28</f>
        <v>0</v>
      </c>
      <c r="O28" s="150"/>
      <c r="P28" s="150"/>
      <c r="Q28" s="147">
        <f t="shared" si="3"/>
        <v>0</v>
      </c>
      <c r="R28" s="147">
        <f t="shared" si="19"/>
        <v>0</v>
      </c>
      <c r="S28" s="155"/>
      <c r="W28" s="1">
        <f t="shared" si="20"/>
        <v>0</v>
      </c>
      <c r="X28" s="67">
        <f t="shared" si="21"/>
        <v>0</v>
      </c>
      <c r="Y28" s="184">
        <f t="shared" si="22"/>
        <v>0</v>
      </c>
      <c r="Z28" s="185"/>
      <c r="AA28" s="183">
        <f t="shared" si="23"/>
        <v>0</v>
      </c>
    </row>
    <row r="29" spans="1:27" s="79" customFormat="1" ht="51" x14ac:dyDescent="0.25">
      <c r="A29" s="245" t="s">
        <v>31</v>
      </c>
      <c r="B29" s="6">
        <v>1047</v>
      </c>
      <c r="C29" s="7">
        <v>20</v>
      </c>
      <c r="D29" s="9">
        <f t="shared" si="18"/>
        <v>20</v>
      </c>
      <c r="E29" s="7">
        <v>24</v>
      </c>
      <c r="F29" s="9">
        <v>20</v>
      </c>
      <c r="G29" s="7">
        <f t="shared" si="0"/>
        <v>-4</v>
      </c>
      <c r="H29" s="7">
        <f t="shared" si="1"/>
        <v>83.333333333333343</v>
      </c>
      <c r="I29" s="144" t="s">
        <v>480</v>
      </c>
      <c r="J29" s="267"/>
      <c r="K29" s="152">
        <v>2</v>
      </c>
      <c r="L29" s="150">
        <v>3</v>
      </c>
      <c r="M29" s="147">
        <f t="shared" si="8"/>
        <v>5</v>
      </c>
      <c r="N29" s="148">
        <f>F29-M29</f>
        <v>15</v>
      </c>
      <c r="O29" s="150">
        <v>4</v>
      </c>
      <c r="P29" s="150">
        <v>6</v>
      </c>
      <c r="Q29" s="147">
        <f t="shared" si="3"/>
        <v>10</v>
      </c>
      <c r="R29" s="147">
        <f t="shared" si="19"/>
        <v>10</v>
      </c>
      <c r="S29" s="155"/>
      <c r="U29" s="79">
        <v>6</v>
      </c>
      <c r="V29" s="79">
        <v>9</v>
      </c>
      <c r="W29" s="1">
        <f t="shared" si="20"/>
        <v>15</v>
      </c>
      <c r="X29" s="67">
        <f t="shared" si="21"/>
        <v>5</v>
      </c>
      <c r="Y29" s="184">
        <f t="shared" si="22"/>
        <v>8.0779999999999994</v>
      </c>
      <c r="Z29" s="185">
        <v>12</v>
      </c>
      <c r="AA29" s="183">
        <f t="shared" si="23"/>
        <v>20.077999999999999</v>
      </c>
    </row>
    <row r="30" spans="1:27" s="79" customFormat="1" ht="76.5" x14ac:dyDescent="0.25">
      <c r="A30" s="245" t="s">
        <v>16</v>
      </c>
      <c r="B30" s="6">
        <v>1048</v>
      </c>
      <c r="C30" s="7">
        <v>2166</v>
      </c>
      <c r="D30" s="7">
        <f t="shared" si="18"/>
        <v>2443</v>
      </c>
      <c r="E30" s="7">
        <v>2400</v>
      </c>
      <c r="F30" s="7">
        <v>2443</v>
      </c>
      <c r="G30" s="7">
        <f t="shared" si="0"/>
        <v>43</v>
      </c>
      <c r="H30" s="7">
        <f t="shared" si="1"/>
        <v>101.79166666666666</v>
      </c>
      <c r="I30" s="144" t="s">
        <v>481</v>
      </c>
      <c r="J30" s="267"/>
      <c r="K30" s="152">
        <v>243</v>
      </c>
      <c r="L30" s="150">
        <v>375</v>
      </c>
      <c r="M30" s="147">
        <f t="shared" si="8"/>
        <v>618</v>
      </c>
      <c r="N30" s="148">
        <f t="shared" si="9"/>
        <v>1825</v>
      </c>
      <c r="O30" s="150">
        <v>514</v>
      </c>
      <c r="P30" s="150">
        <v>716</v>
      </c>
      <c r="Q30" s="147">
        <f t="shared" si="3"/>
        <v>1230</v>
      </c>
      <c r="R30" s="147">
        <f t="shared" si="19"/>
        <v>1213</v>
      </c>
      <c r="S30" s="155"/>
      <c r="U30" s="79">
        <v>757</v>
      </c>
      <c r="V30" s="79">
        <v>1088</v>
      </c>
      <c r="W30" s="1">
        <f t="shared" si="20"/>
        <v>1845</v>
      </c>
      <c r="X30" s="67">
        <f t="shared" si="21"/>
        <v>598</v>
      </c>
      <c r="Y30" s="184">
        <f t="shared" si="22"/>
        <v>986.72769999999991</v>
      </c>
      <c r="Z30" s="185">
        <v>1456</v>
      </c>
      <c r="AA30" s="183">
        <f t="shared" si="23"/>
        <v>2442.7276999999999</v>
      </c>
    </row>
    <row r="31" spans="1:27" s="79" customFormat="1" ht="63.75" x14ac:dyDescent="0.25">
      <c r="A31" s="245" t="s">
        <v>17</v>
      </c>
      <c r="B31" s="6">
        <v>1049</v>
      </c>
      <c r="C31" s="7">
        <v>469</v>
      </c>
      <c r="D31" s="7">
        <f t="shared" si="18"/>
        <v>539</v>
      </c>
      <c r="E31" s="7">
        <v>528</v>
      </c>
      <c r="F31" s="7">
        <v>539</v>
      </c>
      <c r="G31" s="7">
        <f t="shared" si="0"/>
        <v>11</v>
      </c>
      <c r="H31" s="7">
        <f t="shared" si="1"/>
        <v>102.08333333333333</v>
      </c>
      <c r="I31" s="144" t="s">
        <v>494</v>
      </c>
      <c r="J31" s="267"/>
      <c r="K31" s="152">
        <v>53</v>
      </c>
      <c r="L31" s="150">
        <v>82</v>
      </c>
      <c r="M31" s="147">
        <f t="shared" si="8"/>
        <v>135</v>
      </c>
      <c r="N31" s="148">
        <f t="shared" si="9"/>
        <v>404</v>
      </c>
      <c r="O31" s="150">
        <v>112</v>
      </c>
      <c r="P31" s="150">
        <v>157</v>
      </c>
      <c r="Q31" s="147">
        <f t="shared" si="3"/>
        <v>269</v>
      </c>
      <c r="R31" s="147">
        <f t="shared" si="19"/>
        <v>270</v>
      </c>
      <c r="S31" s="155"/>
      <c r="U31" s="79">
        <v>167</v>
      </c>
      <c r="V31" s="79">
        <v>239</v>
      </c>
      <c r="W31" s="1">
        <f t="shared" si="20"/>
        <v>406</v>
      </c>
      <c r="X31" s="67">
        <f t="shared" si="21"/>
        <v>133</v>
      </c>
      <c r="Y31" s="184">
        <f t="shared" si="22"/>
        <v>217.7021</v>
      </c>
      <c r="Z31" s="185">
        <v>321</v>
      </c>
      <c r="AA31" s="183">
        <f t="shared" si="23"/>
        <v>538.70209999999997</v>
      </c>
    </row>
    <row r="32" spans="1:27" s="79" customFormat="1" ht="31.5" x14ac:dyDescent="0.25">
      <c r="A32" s="245" t="s">
        <v>32</v>
      </c>
      <c r="B32" s="6">
        <v>1050</v>
      </c>
      <c r="C32" s="7">
        <v>23</v>
      </c>
      <c r="D32" s="9">
        <f>F32</f>
        <v>21</v>
      </c>
      <c r="E32" s="7">
        <v>32</v>
      </c>
      <c r="F32" s="7">
        <v>21</v>
      </c>
      <c r="G32" s="7">
        <f t="shared" si="0"/>
        <v>-11</v>
      </c>
      <c r="H32" s="7">
        <f t="shared" si="1"/>
        <v>65.625</v>
      </c>
      <c r="I32" s="144" t="s">
        <v>482</v>
      </c>
      <c r="J32" s="267"/>
      <c r="K32" s="152">
        <v>3</v>
      </c>
      <c r="L32" s="150">
        <v>4</v>
      </c>
      <c r="M32" s="147">
        <f t="shared" si="8"/>
        <v>7</v>
      </c>
      <c r="N32" s="148">
        <f t="shared" si="9"/>
        <v>14</v>
      </c>
      <c r="O32" s="150">
        <v>5</v>
      </c>
      <c r="P32" s="150">
        <v>7</v>
      </c>
      <c r="Q32" s="147">
        <f t="shared" si="3"/>
        <v>12</v>
      </c>
      <c r="R32" s="147">
        <f t="shared" si="19"/>
        <v>9</v>
      </c>
      <c r="S32" s="155"/>
      <c r="U32" s="79">
        <v>6</v>
      </c>
      <c r="V32" s="79">
        <v>9</v>
      </c>
      <c r="W32" s="79">
        <f t="shared" si="20"/>
        <v>15</v>
      </c>
      <c r="X32" s="79">
        <f t="shared" si="21"/>
        <v>6</v>
      </c>
      <c r="Y32" s="184">
        <f t="shared" si="22"/>
        <v>8.4818999999999996</v>
      </c>
      <c r="Z32" s="185">
        <v>13</v>
      </c>
      <c r="AA32" s="183">
        <f t="shared" si="23"/>
        <v>21.4819</v>
      </c>
    </row>
    <row r="33" spans="1:27" s="79" customFormat="1" ht="31.5" x14ac:dyDescent="0.25">
      <c r="A33" s="245" t="s">
        <v>33</v>
      </c>
      <c r="B33" s="6">
        <v>1051</v>
      </c>
      <c r="C33" s="7">
        <v>0</v>
      </c>
      <c r="D33" s="9">
        <f>F33</f>
        <v>0</v>
      </c>
      <c r="E33" s="7">
        <v>0</v>
      </c>
      <c r="F33" s="7">
        <v>0</v>
      </c>
      <c r="G33" s="7">
        <f t="shared" si="0"/>
        <v>0</v>
      </c>
      <c r="H33" s="7">
        <v>0</v>
      </c>
      <c r="I33" s="144"/>
      <c r="J33" s="267"/>
      <c r="K33" s="152">
        <f t="shared" ref="K33:K43" si="24">F33*0.50996</f>
        <v>0</v>
      </c>
      <c r="L33" s="150"/>
      <c r="M33" s="147">
        <f t="shared" si="8"/>
        <v>0</v>
      </c>
      <c r="N33" s="148">
        <f t="shared" si="9"/>
        <v>0</v>
      </c>
      <c r="O33" s="150"/>
      <c r="P33" s="150"/>
      <c r="Q33" s="147">
        <f t="shared" si="3"/>
        <v>0</v>
      </c>
      <c r="R33" s="147">
        <f t="shared" si="19"/>
        <v>0</v>
      </c>
      <c r="S33" s="155"/>
      <c r="W33" s="79">
        <f t="shared" si="20"/>
        <v>0</v>
      </c>
      <c r="X33" s="79">
        <f t="shared" si="21"/>
        <v>0</v>
      </c>
      <c r="Y33" s="184">
        <f t="shared" si="22"/>
        <v>0</v>
      </c>
      <c r="Z33" s="185"/>
      <c r="AA33" s="183">
        <f t="shared" si="23"/>
        <v>0</v>
      </c>
    </row>
    <row r="34" spans="1:27" s="79" customFormat="1" x14ac:dyDescent="0.25">
      <c r="A34" s="245" t="s">
        <v>34</v>
      </c>
      <c r="B34" s="6">
        <v>1052</v>
      </c>
      <c r="C34" s="7">
        <v>0</v>
      </c>
      <c r="D34" s="9">
        <f t="shared" ref="D34:D44" si="25">F34</f>
        <v>0</v>
      </c>
      <c r="E34" s="7">
        <v>8</v>
      </c>
      <c r="F34" s="7">
        <v>0</v>
      </c>
      <c r="G34" s="7">
        <f t="shared" si="0"/>
        <v>-8</v>
      </c>
      <c r="H34" s="7">
        <f t="shared" si="1"/>
        <v>0</v>
      </c>
      <c r="I34" s="144"/>
      <c r="J34" s="267"/>
      <c r="K34" s="152">
        <f t="shared" si="24"/>
        <v>0</v>
      </c>
      <c r="L34" s="150"/>
      <c r="M34" s="147">
        <f t="shared" si="8"/>
        <v>0</v>
      </c>
      <c r="N34" s="148">
        <f t="shared" si="9"/>
        <v>0</v>
      </c>
      <c r="O34" s="150"/>
      <c r="P34" s="150"/>
      <c r="Q34" s="147">
        <f t="shared" si="3"/>
        <v>0</v>
      </c>
      <c r="R34" s="147">
        <f t="shared" si="19"/>
        <v>0</v>
      </c>
      <c r="S34" s="155"/>
      <c r="W34" s="79">
        <f t="shared" si="20"/>
        <v>0</v>
      </c>
      <c r="X34" s="79">
        <f t="shared" si="21"/>
        <v>0</v>
      </c>
      <c r="Y34" s="184">
        <f t="shared" si="22"/>
        <v>0</v>
      </c>
      <c r="Z34" s="185"/>
      <c r="AA34" s="183">
        <f t="shared" si="23"/>
        <v>0</v>
      </c>
    </row>
    <row r="35" spans="1:27" s="79" customFormat="1" ht="20.100000000000001" customHeight="1" x14ac:dyDescent="0.25">
      <c r="A35" s="245" t="s">
        <v>35</v>
      </c>
      <c r="B35" s="6">
        <v>1053</v>
      </c>
      <c r="C35" s="7">
        <v>0</v>
      </c>
      <c r="D35" s="9">
        <f t="shared" si="25"/>
        <v>0</v>
      </c>
      <c r="E35" s="7">
        <v>0</v>
      </c>
      <c r="F35" s="7">
        <v>0</v>
      </c>
      <c r="G35" s="7">
        <f t="shared" si="0"/>
        <v>0</v>
      </c>
      <c r="H35" s="7">
        <v>0</v>
      </c>
      <c r="I35" s="144"/>
      <c r="J35" s="267"/>
      <c r="K35" s="152">
        <f t="shared" si="24"/>
        <v>0</v>
      </c>
      <c r="L35" s="150"/>
      <c r="M35" s="147">
        <f t="shared" si="8"/>
        <v>0</v>
      </c>
      <c r="N35" s="148">
        <f t="shared" si="9"/>
        <v>0</v>
      </c>
      <c r="O35" s="150"/>
      <c r="P35" s="150"/>
      <c r="Q35" s="147">
        <f t="shared" si="3"/>
        <v>0</v>
      </c>
      <c r="R35" s="147">
        <f t="shared" si="19"/>
        <v>0</v>
      </c>
      <c r="S35" s="155"/>
      <c r="W35" s="79">
        <f t="shared" si="20"/>
        <v>0</v>
      </c>
      <c r="X35" s="79">
        <f t="shared" si="21"/>
        <v>0</v>
      </c>
      <c r="Y35" s="184">
        <f t="shared" si="22"/>
        <v>0</v>
      </c>
      <c r="Z35" s="185"/>
      <c r="AA35" s="183">
        <f t="shared" si="23"/>
        <v>0</v>
      </c>
    </row>
    <row r="36" spans="1:27" s="79" customFormat="1" ht="63.75" x14ac:dyDescent="0.25">
      <c r="A36" s="245" t="s">
        <v>36</v>
      </c>
      <c r="B36" s="6">
        <v>1054</v>
      </c>
      <c r="C36" s="7">
        <v>115</v>
      </c>
      <c r="D36" s="9">
        <f t="shared" si="25"/>
        <v>111</v>
      </c>
      <c r="E36" s="7">
        <v>140</v>
      </c>
      <c r="F36" s="7">
        <v>111</v>
      </c>
      <c r="G36" s="7">
        <f t="shared" si="0"/>
        <v>-29</v>
      </c>
      <c r="H36" s="7">
        <f t="shared" si="1"/>
        <v>79.285714285714278</v>
      </c>
      <c r="I36" s="144" t="s">
        <v>483</v>
      </c>
      <c r="J36" s="267"/>
      <c r="K36" s="152">
        <v>18</v>
      </c>
      <c r="L36" s="150">
        <v>27</v>
      </c>
      <c r="M36" s="147">
        <f t="shared" si="8"/>
        <v>45</v>
      </c>
      <c r="N36" s="148">
        <f t="shared" si="9"/>
        <v>66</v>
      </c>
      <c r="O36" s="150">
        <v>25</v>
      </c>
      <c r="P36" s="150">
        <v>36</v>
      </c>
      <c r="Q36" s="147">
        <f t="shared" si="3"/>
        <v>61</v>
      </c>
      <c r="R36" s="147">
        <f t="shared" si="19"/>
        <v>50</v>
      </c>
      <c r="S36" s="155"/>
      <c r="U36" s="79">
        <v>28</v>
      </c>
      <c r="V36" s="79">
        <v>41</v>
      </c>
      <c r="W36" s="79">
        <f t="shared" si="20"/>
        <v>69</v>
      </c>
      <c r="X36" s="79">
        <f t="shared" si="21"/>
        <v>42</v>
      </c>
      <c r="Y36" s="184">
        <f t="shared" si="22"/>
        <v>44.832899999999995</v>
      </c>
      <c r="Z36" s="185">
        <v>66</v>
      </c>
      <c r="AA36" s="183">
        <f t="shared" si="23"/>
        <v>110.8329</v>
      </c>
    </row>
    <row r="37" spans="1:27" s="79" customFormat="1" ht="51" x14ac:dyDescent="0.25">
      <c r="A37" s="245" t="s">
        <v>37</v>
      </c>
      <c r="B37" s="6">
        <v>1055</v>
      </c>
      <c r="C37" s="7">
        <v>25</v>
      </c>
      <c r="D37" s="9">
        <f t="shared" si="25"/>
        <v>31</v>
      </c>
      <c r="E37" s="7">
        <v>160</v>
      </c>
      <c r="F37" s="7">
        <v>31</v>
      </c>
      <c r="G37" s="7">
        <f t="shared" si="0"/>
        <v>-129</v>
      </c>
      <c r="H37" s="7">
        <f>F37/E37*100</f>
        <v>19.375</v>
      </c>
      <c r="I37" s="144" t="s">
        <v>484</v>
      </c>
      <c r="J37" s="267"/>
      <c r="K37" s="152">
        <v>2</v>
      </c>
      <c r="L37" s="150">
        <v>3</v>
      </c>
      <c r="M37" s="147">
        <f t="shared" si="8"/>
        <v>5</v>
      </c>
      <c r="N37" s="148">
        <f t="shared" si="9"/>
        <v>26</v>
      </c>
      <c r="O37" s="150">
        <v>6</v>
      </c>
      <c r="P37" s="150">
        <v>9</v>
      </c>
      <c r="Q37" s="147">
        <f t="shared" si="3"/>
        <v>15</v>
      </c>
      <c r="R37" s="147">
        <f t="shared" si="19"/>
        <v>16</v>
      </c>
      <c r="S37" s="155"/>
      <c r="U37" s="79">
        <v>11</v>
      </c>
      <c r="V37" s="79">
        <v>17</v>
      </c>
      <c r="W37" s="79">
        <f t="shared" si="20"/>
        <v>28</v>
      </c>
      <c r="X37" s="79">
        <f t="shared" si="21"/>
        <v>3</v>
      </c>
      <c r="Y37" s="184">
        <f t="shared" si="22"/>
        <v>12.520899999999999</v>
      </c>
      <c r="Z37" s="185">
        <v>18</v>
      </c>
      <c r="AA37" s="183">
        <f t="shared" si="23"/>
        <v>30.520899999999997</v>
      </c>
    </row>
    <row r="38" spans="1:27" s="79" customFormat="1" ht="65.25" customHeight="1" x14ac:dyDescent="0.25">
      <c r="A38" s="245" t="s">
        <v>38</v>
      </c>
      <c r="B38" s="6">
        <v>1056</v>
      </c>
      <c r="C38" s="7">
        <v>2</v>
      </c>
      <c r="D38" s="9">
        <f t="shared" si="25"/>
        <v>67</v>
      </c>
      <c r="E38" s="7">
        <v>20</v>
      </c>
      <c r="F38" s="7">
        <v>67</v>
      </c>
      <c r="G38" s="7">
        <f t="shared" si="0"/>
        <v>47</v>
      </c>
      <c r="H38" s="7">
        <f t="shared" ref="H38:H44" si="26">F38/E38*100</f>
        <v>335</v>
      </c>
      <c r="I38" s="186" t="s">
        <v>485</v>
      </c>
      <c r="J38" s="267"/>
      <c r="K38" s="152">
        <f t="shared" si="24"/>
        <v>34.167319999999997</v>
      </c>
      <c r="L38" s="150"/>
      <c r="M38" s="147">
        <f t="shared" si="8"/>
        <v>34.167319999999997</v>
      </c>
      <c r="N38" s="148">
        <f t="shared" si="9"/>
        <v>32.832680000000003</v>
      </c>
      <c r="O38" s="150"/>
      <c r="P38" s="150"/>
      <c r="Q38" s="147">
        <f t="shared" si="3"/>
        <v>0</v>
      </c>
      <c r="R38" s="147">
        <f t="shared" si="19"/>
        <v>67</v>
      </c>
      <c r="S38" s="155"/>
      <c r="U38" s="79">
        <v>18</v>
      </c>
      <c r="V38" s="79">
        <v>25</v>
      </c>
      <c r="W38" s="79">
        <f t="shared" si="20"/>
        <v>43</v>
      </c>
      <c r="X38" s="79">
        <f t="shared" si="21"/>
        <v>24</v>
      </c>
      <c r="Y38" s="184">
        <f t="shared" si="22"/>
        <v>27.061299999999999</v>
      </c>
      <c r="Z38" s="185">
        <v>40</v>
      </c>
      <c r="AA38" s="183">
        <f t="shared" si="23"/>
        <v>67.061300000000003</v>
      </c>
    </row>
    <row r="39" spans="1:27" s="79" customFormat="1" x14ac:dyDescent="0.25">
      <c r="A39" s="245" t="s">
        <v>39</v>
      </c>
      <c r="B39" s="6">
        <v>1057</v>
      </c>
      <c r="C39" s="7">
        <v>4</v>
      </c>
      <c r="D39" s="9">
        <f t="shared" si="25"/>
        <v>0</v>
      </c>
      <c r="E39" s="7">
        <v>0</v>
      </c>
      <c r="F39" s="7">
        <v>0</v>
      </c>
      <c r="G39" s="7">
        <f t="shared" si="0"/>
        <v>0</v>
      </c>
      <c r="H39" s="7">
        <v>0</v>
      </c>
      <c r="I39" s="186"/>
      <c r="J39" s="267"/>
      <c r="K39" s="152">
        <f t="shared" si="24"/>
        <v>0</v>
      </c>
      <c r="L39" s="150">
        <v>0</v>
      </c>
      <c r="M39" s="147">
        <f t="shared" si="8"/>
        <v>0</v>
      </c>
      <c r="N39" s="148">
        <f t="shared" si="9"/>
        <v>0</v>
      </c>
      <c r="O39" s="150"/>
      <c r="P39" s="150"/>
      <c r="Q39" s="147">
        <f t="shared" si="3"/>
        <v>0</v>
      </c>
      <c r="R39" s="147">
        <f t="shared" si="19"/>
        <v>0</v>
      </c>
      <c r="S39" s="155"/>
      <c r="W39" s="79">
        <f t="shared" si="20"/>
        <v>0</v>
      </c>
      <c r="X39" s="79">
        <f t="shared" si="21"/>
        <v>0</v>
      </c>
      <c r="Y39" s="184">
        <f t="shared" si="22"/>
        <v>0</v>
      </c>
      <c r="Z39" s="185"/>
      <c r="AA39" s="183">
        <f t="shared" si="23"/>
        <v>0</v>
      </c>
    </row>
    <row r="40" spans="1:27" s="79" customFormat="1" x14ac:dyDescent="0.25">
      <c r="A40" s="245" t="s">
        <v>40</v>
      </c>
      <c r="B40" s="6">
        <v>1058</v>
      </c>
      <c r="C40" s="7">
        <v>0</v>
      </c>
      <c r="D40" s="9">
        <f t="shared" si="25"/>
        <v>0</v>
      </c>
      <c r="E40" s="7">
        <v>12</v>
      </c>
      <c r="F40" s="7">
        <v>0</v>
      </c>
      <c r="G40" s="7">
        <f t="shared" si="0"/>
        <v>-12</v>
      </c>
      <c r="H40" s="7">
        <f t="shared" si="26"/>
        <v>0</v>
      </c>
      <c r="I40" s="186"/>
      <c r="J40" s="267"/>
      <c r="K40" s="152">
        <f t="shared" si="24"/>
        <v>0</v>
      </c>
      <c r="L40" s="150"/>
      <c r="M40" s="147">
        <f t="shared" si="8"/>
        <v>0</v>
      </c>
      <c r="N40" s="148">
        <f t="shared" si="9"/>
        <v>0</v>
      </c>
      <c r="O40" s="150"/>
      <c r="P40" s="150"/>
      <c r="Q40" s="147">
        <f t="shared" si="3"/>
        <v>0</v>
      </c>
      <c r="R40" s="147">
        <f t="shared" si="19"/>
        <v>0</v>
      </c>
      <c r="S40" s="155"/>
      <c r="W40" s="79">
        <f t="shared" si="20"/>
        <v>0</v>
      </c>
      <c r="X40" s="79">
        <f t="shared" si="21"/>
        <v>0</v>
      </c>
      <c r="Y40" s="184">
        <f t="shared" si="22"/>
        <v>0</v>
      </c>
      <c r="Z40" s="185"/>
      <c r="AA40" s="183">
        <f t="shared" si="23"/>
        <v>0</v>
      </c>
    </row>
    <row r="41" spans="1:27" s="79" customFormat="1" ht="36.75" customHeight="1" x14ac:dyDescent="0.25">
      <c r="A41" s="245" t="s">
        <v>41</v>
      </c>
      <c r="B41" s="6">
        <v>1059</v>
      </c>
      <c r="C41" s="7">
        <v>3</v>
      </c>
      <c r="D41" s="9">
        <f t="shared" si="25"/>
        <v>6</v>
      </c>
      <c r="E41" s="7">
        <v>16</v>
      </c>
      <c r="F41" s="7">
        <v>6</v>
      </c>
      <c r="G41" s="7">
        <f t="shared" si="0"/>
        <v>-10</v>
      </c>
      <c r="H41" s="7">
        <f>F41/E41*100</f>
        <v>37.5</v>
      </c>
      <c r="I41" s="186" t="s">
        <v>486</v>
      </c>
      <c r="J41" s="267"/>
      <c r="K41" s="152">
        <f t="shared" si="24"/>
        <v>3.0597599999999998</v>
      </c>
      <c r="L41" s="150">
        <v>0</v>
      </c>
      <c r="M41" s="147">
        <f t="shared" si="8"/>
        <v>3.0597599999999998</v>
      </c>
      <c r="N41" s="148">
        <f t="shared" si="9"/>
        <v>2.9402400000000002</v>
      </c>
      <c r="O41" s="150">
        <v>1</v>
      </c>
      <c r="P41" s="150">
        <v>1</v>
      </c>
      <c r="Q41" s="147">
        <f t="shared" si="3"/>
        <v>2</v>
      </c>
      <c r="R41" s="147">
        <f t="shared" si="19"/>
        <v>4</v>
      </c>
      <c r="S41" s="155"/>
      <c r="U41" s="79">
        <v>2</v>
      </c>
      <c r="V41" s="79">
        <v>2</v>
      </c>
      <c r="W41" s="79">
        <f t="shared" si="20"/>
        <v>4</v>
      </c>
      <c r="X41" s="79">
        <f t="shared" si="21"/>
        <v>2</v>
      </c>
      <c r="Y41" s="184">
        <f t="shared" si="22"/>
        <v>2.4234</v>
      </c>
      <c r="Z41" s="185">
        <v>4</v>
      </c>
      <c r="AA41" s="183">
        <f t="shared" si="23"/>
        <v>6.4234</v>
      </c>
    </row>
    <row r="42" spans="1:27" s="79" customFormat="1" ht="31.5" x14ac:dyDescent="0.25">
      <c r="A42" s="245" t="s">
        <v>42</v>
      </c>
      <c r="B42" s="6">
        <v>1060</v>
      </c>
      <c r="C42" s="7">
        <v>0</v>
      </c>
      <c r="D42" s="9">
        <f t="shared" si="25"/>
        <v>0</v>
      </c>
      <c r="E42" s="7">
        <v>40</v>
      </c>
      <c r="F42" s="7">
        <v>0</v>
      </c>
      <c r="G42" s="7">
        <f t="shared" si="0"/>
        <v>-40</v>
      </c>
      <c r="H42" s="7">
        <f t="shared" si="26"/>
        <v>0</v>
      </c>
      <c r="I42" s="186"/>
      <c r="J42" s="267"/>
      <c r="K42" s="152">
        <f t="shared" si="24"/>
        <v>0</v>
      </c>
      <c r="L42" s="150"/>
      <c r="M42" s="147">
        <f t="shared" si="8"/>
        <v>0</v>
      </c>
      <c r="N42" s="148">
        <f t="shared" si="9"/>
        <v>0</v>
      </c>
      <c r="O42" s="150"/>
      <c r="P42" s="150"/>
      <c r="Q42" s="147">
        <f t="shared" si="3"/>
        <v>0</v>
      </c>
      <c r="R42" s="147">
        <f t="shared" si="19"/>
        <v>0</v>
      </c>
      <c r="S42" s="155"/>
      <c r="W42" s="79">
        <f t="shared" si="20"/>
        <v>0</v>
      </c>
      <c r="X42" s="79">
        <f t="shared" si="21"/>
        <v>0</v>
      </c>
      <c r="Y42" s="184">
        <f t="shared" si="22"/>
        <v>0</v>
      </c>
      <c r="Z42" s="185"/>
      <c r="AA42" s="183">
        <f t="shared" si="23"/>
        <v>0</v>
      </c>
    </row>
    <row r="43" spans="1:27" s="79" customFormat="1" x14ac:dyDescent="0.25">
      <c r="A43" s="245" t="s">
        <v>43</v>
      </c>
      <c r="B43" s="6">
        <v>1061</v>
      </c>
      <c r="C43" s="7">
        <v>0</v>
      </c>
      <c r="D43" s="9">
        <f>F43</f>
        <v>0</v>
      </c>
      <c r="E43" s="7">
        <v>0</v>
      </c>
      <c r="F43" s="7">
        <v>0</v>
      </c>
      <c r="G43" s="7">
        <f t="shared" si="0"/>
        <v>0</v>
      </c>
      <c r="H43" s="7">
        <v>0</v>
      </c>
      <c r="I43" s="186"/>
      <c r="J43" s="267"/>
      <c r="K43" s="152">
        <f t="shared" si="24"/>
        <v>0</v>
      </c>
      <c r="L43" s="150"/>
      <c r="M43" s="147">
        <f t="shared" si="8"/>
        <v>0</v>
      </c>
      <c r="N43" s="148">
        <f t="shared" si="9"/>
        <v>0</v>
      </c>
      <c r="O43" s="150"/>
      <c r="P43" s="150"/>
      <c r="Q43" s="147">
        <f t="shared" si="3"/>
        <v>0</v>
      </c>
      <c r="R43" s="147">
        <f t="shared" si="19"/>
        <v>0</v>
      </c>
      <c r="S43" s="155"/>
      <c r="W43" s="79">
        <f t="shared" si="20"/>
        <v>0</v>
      </c>
      <c r="X43" s="79">
        <f t="shared" si="21"/>
        <v>0</v>
      </c>
      <c r="Y43" s="184">
        <f t="shared" si="22"/>
        <v>0</v>
      </c>
      <c r="Z43" s="185"/>
      <c r="AA43" s="183">
        <f t="shared" si="23"/>
        <v>0</v>
      </c>
    </row>
    <row r="44" spans="1:27" s="79" customFormat="1" ht="33.75" x14ac:dyDescent="0.25">
      <c r="A44" s="245" t="s">
        <v>44</v>
      </c>
      <c r="B44" s="6">
        <v>1062</v>
      </c>
      <c r="C44" s="7">
        <v>300</v>
      </c>
      <c r="D44" s="9">
        <f t="shared" si="25"/>
        <v>126</v>
      </c>
      <c r="E44" s="7">
        <v>240</v>
      </c>
      <c r="F44" s="7">
        <v>126</v>
      </c>
      <c r="G44" s="7">
        <f t="shared" si="0"/>
        <v>-114</v>
      </c>
      <c r="H44" s="7">
        <f t="shared" si="26"/>
        <v>52.5</v>
      </c>
      <c r="I44" s="186" t="s">
        <v>487</v>
      </c>
      <c r="J44" s="267"/>
      <c r="K44" s="152">
        <v>13</v>
      </c>
      <c r="L44" s="150">
        <v>21</v>
      </c>
      <c r="M44" s="147">
        <f t="shared" si="8"/>
        <v>34</v>
      </c>
      <c r="N44" s="148">
        <f t="shared" si="9"/>
        <v>92</v>
      </c>
      <c r="O44" s="150">
        <v>25</v>
      </c>
      <c r="P44" s="150">
        <v>35</v>
      </c>
      <c r="Q44" s="147">
        <f t="shared" si="3"/>
        <v>60</v>
      </c>
      <c r="R44" s="147">
        <f t="shared" si="19"/>
        <v>66</v>
      </c>
      <c r="S44" s="155"/>
      <c r="U44" s="79">
        <v>37</v>
      </c>
      <c r="V44" s="79">
        <v>53</v>
      </c>
      <c r="W44" s="79">
        <f t="shared" si="20"/>
        <v>90</v>
      </c>
      <c r="X44" s="79">
        <f t="shared" si="21"/>
        <v>36</v>
      </c>
      <c r="Y44" s="184">
        <f t="shared" si="22"/>
        <v>50.891399999999997</v>
      </c>
      <c r="Z44" s="185">
        <v>75</v>
      </c>
      <c r="AA44" s="183">
        <f t="shared" si="23"/>
        <v>125.8914</v>
      </c>
    </row>
    <row r="45" spans="1:27" s="78" customFormat="1" ht="33.75" x14ac:dyDescent="0.25">
      <c r="A45" s="241" t="s">
        <v>45</v>
      </c>
      <c r="B45" s="92">
        <v>1070</v>
      </c>
      <c r="C45" s="9">
        <f>SUM(C46:C51)</f>
        <v>702</v>
      </c>
      <c r="D45" s="9">
        <f>F45</f>
        <v>1312</v>
      </c>
      <c r="E45" s="9">
        <f>SUM(E46:E51)</f>
        <v>960</v>
      </c>
      <c r="F45" s="9">
        <f>SUM(F46:F51)</f>
        <v>1312</v>
      </c>
      <c r="G45" s="7">
        <f t="shared" si="0"/>
        <v>352</v>
      </c>
      <c r="H45" s="7">
        <f>F45/E45*100</f>
        <v>136.66666666666666</v>
      </c>
      <c r="I45" s="186" t="s">
        <v>495</v>
      </c>
      <c r="J45" s="267"/>
      <c r="K45" s="233">
        <f>SUM(K46:K51)</f>
        <v>155</v>
      </c>
      <c r="L45" s="147">
        <f>F45-K45</f>
        <v>1157</v>
      </c>
      <c r="M45" s="147">
        <f t="shared" si="8"/>
        <v>1312</v>
      </c>
      <c r="N45" s="148">
        <f t="shared" si="9"/>
        <v>0</v>
      </c>
      <c r="O45" s="233">
        <f>SUM(O46:O51)</f>
        <v>309</v>
      </c>
      <c r="P45" s="233">
        <f>SUM(P46:P51)</f>
        <v>350</v>
      </c>
      <c r="Q45" s="233">
        <f t="shared" si="3"/>
        <v>659</v>
      </c>
      <c r="R45" s="147">
        <f t="shared" si="19"/>
        <v>653</v>
      </c>
      <c r="U45" s="78">
        <f>SUM(U46:U51)</f>
        <v>448</v>
      </c>
      <c r="V45" s="78">
        <f>SUM(V46:V51)</f>
        <v>539</v>
      </c>
      <c r="W45" s="79">
        <f t="shared" si="20"/>
        <v>987</v>
      </c>
      <c r="X45" s="79">
        <f t="shared" si="21"/>
        <v>325</v>
      </c>
      <c r="Y45" s="183">
        <f>SUM(Y46:Y51)</f>
        <v>588</v>
      </c>
      <c r="Z45" s="183">
        <v>724</v>
      </c>
      <c r="AA45" s="183">
        <f>SUM(Y45:Z45)</f>
        <v>1312</v>
      </c>
    </row>
    <row r="46" spans="1:27" s="79" customFormat="1" ht="20.100000000000001" customHeight="1" x14ac:dyDescent="0.25">
      <c r="A46" s="5" t="s">
        <v>46</v>
      </c>
      <c r="B46" s="6">
        <v>1071</v>
      </c>
      <c r="C46" s="7">
        <v>0</v>
      </c>
      <c r="D46" s="9">
        <f t="shared" ref="D46:D51" si="27">F46</f>
        <v>0</v>
      </c>
      <c r="E46" s="7">
        <v>0</v>
      </c>
      <c r="F46" s="7">
        <v>0</v>
      </c>
      <c r="G46" s="7">
        <f t="shared" si="0"/>
        <v>0</v>
      </c>
      <c r="H46" s="7">
        <v>0</v>
      </c>
      <c r="I46" s="144"/>
      <c r="J46" s="267"/>
      <c r="K46" s="244"/>
      <c r="L46" s="150"/>
      <c r="M46" s="147">
        <f t="shared" si="8"/>
        <v>0</v>
      </c>
      <c r="N46" s="148">
        <f t="shared" si="9"/>
        <v>0</v>
      </c>
      <c r="O46" s="244"/>
      <c r="P46" s="244"/>
      <c r="Q46" s="233">
        <f t="shared" si="3"/>
        <v>0</v>
      </c>
      <c r="R46" s="147">
        <f t="shared" si="19"/>
        <v>0</v>
      </c>
      <c r="W46" s="79">
        <f t="shared" si="20"/>
        <v>0</v>
      </c>
      <c r="X46" s="79">
        <f t="shared" si="21"/>
        <v>0</v>
      </c>
      <c r="Y46" s="185"/>
      <c r="Z46" s="185"/>
      <c r="AA46" s="185"/>
    </row>
    <row r="47" spans="1:27" s="79" customFormat="1" ht="20.100000000000001" customHeight="1" x14ac:dyDescent="0.25">
      <c r="A47" s="5" t="s">
        <v>47</v>
      </c>
      <c r="B47" s="6">
        <v>1072</v>
      </c>
      <c r="C47" s="7">
        <v>0</v>
      </c>
      <c r="D47" s="9">
        <f t="shared" si="27"/>
        <v>0</v>
      </c>
      <c r="E47" s="7">
        <v>0</v>
      </c>
      <c r="F47" s="7">
        <v>0</v>
      </c>
      <c r="G47" s="7">
        <f t="shared" si="0"/>
        <v>0</v>
      </c>
      <c r="H47" s="7">
        <v>0</v>
      </c>
      <c r="I47" s="144"/>
      <c r="J47" s="267"/>
      <c r="K47" s="244"/>
      <c r="L47" s="150"/>
      <c r="M47" s="147">
        <f t="shared" si="8"/>
        <v>0</v>
      </c>
      <c r="N47" s="148">
        <f t="shared" si="9"/>
        <v>0</v>
      </c>
      <c r="O47" s="244"/>
      <c r="P47" s="244"/>
      <c r="Q47" s="233">
        <f t="shared" si="3"/>
        <v>0</v>
      </c>
      <c r="R47" s="147">
        <f t="shared" si="19"/>
        <v>0</v>
      </c>
      <c r="W47" s="79">
        <f t="shared" si="20"/>
        <v>0</v>
      </c>
      <c r="X47" s="79">
        <f t="shared" si="21"/>
        <v>0</v>
      </c>
    </row>
    <row r="48" spans="1:27" s="79" customFormat="1" ht="20.100000000000001" customHeight="1" x14ac:dyDescent="0.25">
      <c r="A48" s="5" t="s">
        <v>16</v>
      </c>
      <c r="B48" s="6">
        <v>1073</v>
      </c>
      <c r="C48" s="7">
        <v>0</v>
      </c>
      <c r="D48" s="9">
        <f t="shared" si="27"/>
        <v>0</v>
      </c>
      <c r="E48" s="7">
        <v>0</v>
      </c>
      <c r="F48" s="7">
        <v>0</v>
      </c>
      <c r="G48" s="7">
        <f t="shared" si="0"/>
        <v>0</v>
      </c>
      <c r="H48" s="7">
        <v>0</v>
      </c>
      <c r="I48" s="144"/>
      <c r="J48" s="267"/>
      <c r="K48" s="244"/>
      <c r="L48" s="150"/>
      <c r="M48" s="147">
        <f t="shared" si="8"/>
        <v>0</v>
      </c>
      <c r="N48" s="148">
        <f t="shared" si="9"/>
        <v>0</v>
      </c>
      <c r="O48" s="244"/>
      <c r="P48" s="244"/>
      <c r="Q48" s="233">
        <f t="shared" si="3"/>
        <v>0</v>
      </c>
      <c r="R48" s="147">
        <f t="shared" si="19"/>
        <v>0</v>
      </c>
      <c r="W48" s="79">
        <f t="shared" si="20"/>
        <v>0</v>
      </c>
      <c r="X48" s="79">
        <f t="shared" si="21"/>
        <v>0</v>
      </c>
    </row>
    <row r="49" spans="1:27" s="79" customFormat="1" ht="20.100000000000001" customHeight="1" x14ac:dyDescent="0.25">
      <c r="A49" s="5" t="s">
        <v>19</v>
      </c>
      <c r="B49" s="6">
        <v>1074</v>
      </c>
      <c r="C49" s="7">
        <v>0</v>
      </c>
      <c r="D49" s="9">
        <f t="shared" si="27"/>
        <v>0</v>
      </c>
      <c r="E49" s="7">
        <v>0</v>
      </c>
      <c r="F49" s="7">
        <v>0</v>
      </c>
      <c r="G49" s="7">
        <f t="shared" si="0"/>
        <v>0</v>
      </c>
      <c r="H49" s="7">
        <v>0</v>
      </c>
      <c r="I49" s="144"/>
      <c r="J49" s="267"/>
      <c r="K49" s="242"/>
      <c r="L49" s="150"/>
      <c r="M49" s="147">
        <f t="shared" si="8"/>
        <v>0</v>
      </c>
      <c r="N49" s="148">
        <f t="shared" si="9"/>
        <v>0</v>
      </c>
      <c r="O49" s="244"/>
      <c r="P49" s="244"/>
      <c r="Q49" s="233">
        <f t="shared" si="3"/>
        <v>0</v>
      </c>
      <c r="R49" s="147">
        <f t="shared" si="19"/>
        <v>0</v>
      </c>
      <c r="W49" s="79">
        <f t="shared" si="20"/>
        <v>0</v>
      </c>
      <c r="X49" s="79">
        <f t="shared" si="21"/>
        <v>0</v>
      </c>
    </row>
    <row r="50" spans="1:27" s="79" customFormat="1" ht="20.100000000000001" customHeight="1" x14ac:dyDescent="0.25">
      <c r="A50" s="5" t="s">
        <v>48</v>
      </c>
      <c r="B50" s="6">
        <v>1075</v>
      </c>
      <c r="C50" s="7">
        <v>0</v>
      </c>
      <c r="D50" s="9">
        <f t="shared" si="27"/>
        <v>0</v>
      </c>
      <c r="E50" s="7">
        <v>0</v>
      </c>
      <c r="F50" s="7">
        <v>0</v>
      </c>
      <c r="G50" s="7">
        <f t="shared" si="0"/>
        <v>0</v>
      </c>
      <c r="H50" s="7">
        <v>0</v>
      </c>
      <c r="I50" s="144"/>
      <c r="J50" s="267"/>
      <c r="K50" s="244"/>
      <c r="L50" s="150"/>
      <c r="M50" s="147">
        <f t="shared" si="8"/>
        <v>0</v>
      </c>
      <c r="N50" s="148">
        <f t="shared" si="9"/>
        <v>0</v>
      </c>
      <c r="O50" s="244"/>
      <c r="P50" s="244"/>
      <c r="Q50" s="233">
        <f t="shared" si="3"/>
        <v>0</v>
      </c>
      <c r="R50" s="147">
        <f t="shared" si="19"/>
        <v>0</v>
      </c>
      <c r="W50" s="79">
        <f t="shared" si="20"/>
        <v>0</v>
      </c>
      <c r="X50" s="79">
        <f t="shared" si="21"/>
        <v>0</v>
      </c>
    </row>
    <row r="51" spans="1:27" s="79" customFormat="1" ht="45" x14ac:dyDescent="0.25">
      <c r="A51" s="5" t="s">
        <v>49</v>
      </c>
      <c r="B51" s="6">
        <v>1076</v>
      </c>
      <c r="C51" s="7">
        <v>702</v>
      </c>
      <c r="D51" s="9">
        <f t="shared" si="27"/>
        <v>1312</v>
      </c>
      <c r="E51" s="7">
        <v>960</v>
      </c>
      <c r="F51" s="7">
        <v>1312</v>
      </c>
      <c r="G51" s="7">
        <f t="shared" si="0"/>
        <v>352</v>
      </c>
      <c r="H51" s="7">
        <v>0</v>
      </c>
      <c r="I51" s="186" t="s">
        <v>500</v>
      </c>
      <c r="J51" s="267"/>
      <c r="K51" s="244">
        <v>155</v>
      </c>
      <c r="L51" s="150">
        <v>177</v>
      </c>
      <c r="M51" s="147">
        <f t="shared" si="8"/>
        <v>332</v>
      </c>
      <c r="N51" s="148">
        <f t="shared" si="9"/>
        <v>980</v>
      </c>
      <c r="O51" s="244">
        <v>309</v>
      </c>
      <c r="P51" s="244">
        <v>350</v>
      </c>
      <c r="Q51" s="233">
        <f t="shared" si="3"/>
        <v>659</v>
      </c>
      <c r="R51" s="147">
        <f t="shared" si="19"/>
        <v>653</v>
      </c>
      <c r="U51" s="79">
        <v>448</v>
      </c>
      <c r="V51" s="79">
        <v>539</v>
      </c>
      <c r="W51" s="79">
        <f t="shared" si="20"/>
        <v>987</v>
      </c>
      <c r="X51" s="79">
        <f t="shared" si="21"/>
        <v>325</v>
      </c>
      <c r="Y51" s="79">
        <v>588</v>
      </c>
      <c r="Z51" s="79">
        <v>724</v>
      </c>
      <c r="AA51" s="79">
        <f>SUM(Y51:Z51)</f>
        <v>1312</v>
      </c>
    </row>
    <row r="52" spans="1:27" s="31" customFormat="1" ht="33.75" x14ac:dyDescent="0.25">
      <c r="A52" s="163" t="s">
        <v>50</v>
      </c>
      <c r="B52" s="92">
        <v>1080</v>
      </c>
      <c r="C52" s="9">
        <f>SUM(C53:C57)</f>
        <v>1687</v>
      </c>
      <c r="D52" s="9">
        <f>F52</f>
        <v>1673</v>
      </c>
      <c r="E52" s="9">
        <f>SUM(E53:E57)</f>
        <v>240</v>
      </c>
      <c r="F52" s="9">
        <f>SUM(F53:F57)</f>
        <v>1673</v>
      </c>
      <c r="G52" s="7">
        <f t="shared" si="0"/>
        <v>1433</v>
      </c>
      <c r="H52" s="7">
        <f>F52/E52*100</f>
        <v>697.08333333333337</v>
      </c>
      <c r="I52" s="186" t="s">
        <v>488</v>
      </c>
      <c r="J52" s="267"/>
      <c r="K52" s="164">
        <f>SUM(K53:K57)</f>
        <v>392</v>
      </c>
      <c r="L52" s="164">
        <f>SUM(L53:L57)</f>
        <v>8</v>
      </c>
      <c r="M52" s="147">
        <f t="shared" si="8"/>
        <v>400</v>
      </c>
      <c r="N52" s="148">
        <f t="shared" si="9"/>
        <v>1273</v>
      </c>
      <c r="O52" s="164">
        <f>SUM(O53:O57)</f>
        <v>777</v>
      </c>
      <c r="P52" s="164">
        <f>SUM(P53:P57)</f>
        <v>22</v>
      </c>
      <c r="Q52" s="233">
        <f t="shared" si="3"/>
        <v>799</v>
      </c>
      <c r="R52" s="147">
        <f t="shared" si="19"/>
        <v>874</v>
      </c>
      <c r="U52" s="31">
        <f>SUM(U53:U57)</f>
        <v>1191</v>
      </c>
      <c r="V52" s="31">
        <f>SUM(V53:V57)</f>
        <v>37</v>
      </c>
      <c r="W52" s="79">
        <f t="shared" si="20"/>
        <v>1228</v>
      </c>
      <c r="X52" s="79">
        <f t="shared" si="21"/>
        <v>445</v>
      </c>
      <c r="Y52" s="31">
        <f>SUM(Y53:Y57)</f>
        <v>1599</v>
      </c>
      <c r="Z52" s="31">
        <f>SUM(Z53:Z57)</f>
        <v>74</v>
      </c>
      <c r="AA52" s="31">
        <f>SUM(Y52:Z52)</f>
        <v>1673</v>
      </c>
    </row>
    <row r="53" spans="1:27" s="79" customFormat="1" ht="20.100000000000001" customHeight="1" x14ac:dyDescent="0.25">
      <c r="A53" s="5" t="s">
        <v>51</v>
      </c>
      <c r="B53" s="6">
        <v>1081</v>
      </c>
      <c r="C53" s="7">
        <v>0</v>
      </c>
      <c r="D53" s="9">
        <f t="shared" ref="D53:D59" si="28">F53</f>
        <v>0</v>
      </c>
      <c r="E53" s="7">
        <v>0</v>
      </c>
      <c r="F53" s="7">
        <v>0</v>
      </c>
      <c r="G53" s="7">
        <f t="shared" si="0"/>
        <v>0</v>
      </c>
      <c r="H53" s="7">
        <v>0</v>
      </c>
      <c r="I53" s="186"/>
      <c r="J53" s="267"/>
      <c r="K53" s="244"/>
      <c r="L53" s="150"/>
      <c r="M53" s="147">
        <f t="shared" si="8"/>
        <v>0</v>
      </c>
      <c r="N53" s="148">
        <f t="shared" si="9"/>
        <v>0</v>
      </c>
      <c r="O53" s="244"/>
      <c r="P53" s="244"/>
      <c r="Q53" s="233">
        <f t="shared" si="3"/>
        <v>0</v>
      </c>
      <c r="R53" s="147">
        <f t="shared" si="19"/>
        <v>0</v>
      </c>
      <c r="W53" s="79">
        <f t="shared" si="20"/>
        <v>0</v>
      </c>
      <c r="X53" s="79">
        <f t="shared" si="21"/>
        <v>0</v>
      </c>
    </row>
    <row r="54" spans="1:27" s="79" customFormat="1" ht="20.100000000000001" customHeight="1" x14ac:dyDescent="0.25">
      <c r="A54" s="5" t="s">
        <v>52</v>
      </c>
      <c r="B54" s="6">
        <v>1082</v>
      </c>
      <c r="C54" s="7">
        <v>0</v>
      </c>
      <c r="D54" s="9">
        <f t="shared" si="28"/>
        <v>0</v>
      </c>
      <c r="E54" s="7">
        <v>0</v>
      </c>
      <c r="F54" s="7">
        <v>0</v>
      </c>
      <c r="G54" s="7">
        <f t="shared" si="0"/>
        <v>0</v>
      </c>
      <c r="H54" s="7">
        <v>0</v>
      </c>
      <c r="I54" s="187"/>
      <c r="J54" s="267"/>
      <c r="K54" s="244"/>
      <c r="L54" s="150"/>
      <c r="M54" s="147">
        <f t="shared" si="8"/>
        <v>0</v>
      </c>
      <c r="N54" s="148">
        <f t="shared" si="9"/>
        <v>0</v>
      </c>
      <c r="O54" s="244"/>
      <c r="P54" s="244"/>
      <c r="Q54" s="233">
        <f t="shared" si="3"/>
        <v>0</v>
      </c>
      <c r="R54" s="147">
        <f t="shared" si="19"/>
        <v>0</v>
      </c>
      <c r="W54" s="79">
        <f t="shared" si="20"/>
        <v>0</v>
      </c>
      <c r="X54" s="79">
        <f t="shared" si="21"/>
        <v>0</v>
      </c>
    </row>
    <row r="55" spans="1:27" s="79" customFormat="1" ht="20.100000000000001" customHeight="1" x14ac:dyDescent="0.25">
      <c r="A55" s="5" t="s">
        <v>53</v>
      </c>
      <c r="B55" s="6">
        <v>1083</v>
      </c>
      <c r="C55" s="7">
        <v>0</v>
      </c>
      <c r="D55" s="9">
        <f t="shared" si="28"/>
        <v>0</v>
      </c>
      <c r="E55" s="7">
        <v>0</v>
      </c>
      <c r="F55" s="7">
        <v>0</v>
      </c>
      <c r="G55" s="7">
        <f t="shared" si="0"/>
        <v>0</v>
      </c>
      <c r="H55" s="7">
        <v>0</v>
      </c>
      <c r="I55" s="186"/>
      <c r="J55" s="267"/>
      <c r="K55" s="244"/>
      <c r="L55" s="150"/>
      <c r="M55" s="147">
        <f t="shared" si="8"/>
        <v>0</v>
      </c>
      <c r="N55" s="148">
        <f t="shared" si="9"/>
        <v>0</v>
      </c>
      <c r="O55" s="244"/>
      <c r="P55" s="244"/>
      <c r="Q55" s="233">
        <f t="shared" si="3"/>
        <v>0</v>
      </c>
      <c r="R55" s="147">
        <f t="shared" si="19"/>
        <v>0</v>
      </c>
      <c r="W55" s="79">
        <f t="shared" si="20"/>
        <v>0</v>
      </c>
      <c r="X55" s="79">
        <f t="shared" si="21"/>
        <v>0</v>
      </c>
    </row>
    <row r="56" spans="1:27" s="79" customFormat="1" ht="20.100000000000001" customHeight="1" x14ac:dyDescent="0.25">
      <c r="A56" s="5" t="s">
        <v>23</v>
      </c>
      <c r="B56" s="6">
        <v>1084</v>
      </c>
      <c r="C56" s="7">
        <v>0</v>
      </c>
      <c r="D56" s="9">
        <f t="shared" si="28"/>
        <v>0</v>
      </c>
      <c r="E56" s="7">
        <v>0</v>
      </c>
      <c r="F56" s="7">
        <v>0</v>
      </c>
      <c r="G56" s="7">
        <f t="shared" si="0"/>
        <v>0</v>
      </c>
      <c r="H56" s="7">
        <v>0</v>
      </c>
      <c r="I56" s="186"/>
      <c r="J56" s="267"/>
      <c r="K56" s="244"/>
      <c r="L56" s="150"/>
      <c r="M56" s="147">
        <f t="shared" si="8"/>
        <v>0</v>
      </c>
      <c r="N56" s="148">
        <f t="shared" si="9"/>
        <v>0</v>
      </c>
      <c r="O56" s="244"/>
      <c r="P56" s="244"/>
      <c r="Q56" s="233">
        <f t="shared" si="3"/>
        <v>0</v>
      </c>
      <c r="R56" s="147">
        <f t="shared" si="19"/>
        <v>0</v>
      </c>
      <c r="W56" s="79">
        <f t="shared" si="20"/>
        <v>0</v>
      </c>
      <c r="X56" s="79">
        <f t="shared" si="21"/>
        <v>0</v>
      </c>
    </row>
    <row r="57" spans="1:27" s="79" customFormat="1" ht="44.25" customHeight="1" x14ac:dyDescent="0.25">
      <c r="A57" s="5" t="s">
        <v>54</v>
      </c>
      <c r="B57" s="6">
        <v>1085</v>
      </c>
      <c r="C57" s="7">
        <v>1687</v>
      </c>
      <c r="D57" s="9">
        <f t="shared" si="28"/>
        <v>1673</v>
      </c>
      <c r="E57" s="7">
        <v>240</v>
      </c>
      <c r="F57" s="7">
        <v>1673</v>
      </c>
      <c r="G57" s="7">
        <f t="shared" si="0"/>
        <v>1433</v>
      </c>
      <c r="H57" s="7">
        <f>F57/E57*100</f>
        <v>697.08333333333337</v>
      </c>
      <c r="I57" s="186" t="s">
        <v>496</v>
      </c>
      <c r="J57" s="267"/>
      <c r="K57" s="244">
        <v>392</v>
      </c>
      <c r="L57" s="150">
        <v>8</v>
      </c>
      <c r="M57" s="147">
        <f t="shared" si="8"/>
        <v>400</v>
      </c>
      <c r="N57" s="148">
        <f t="shared" si="9"/>
        <v>1273</v>
      </c>
      <c r="O57" s="244">
        <v>777</v>
      </c>
      <c r="P57" s="244">
        <v>22</v>
      </c>
      <c r="Q57" s="233">
        <f t="shared" si="3"/>
        <v>799</v>
      </c>
      <c r="R57" s="147">
        <f t="shared" si="19"/>
        <v>874</v>
      </c>
      <c r="U57" s="79">
        <v>1191</v>
      </c>
      <c r="V57" s="79">
        <v>37</v>
      </c>
      <c r="W57" s="79">
        <f t="shared" si="20"/>
        <v>1228</v>
      </c>
      <c r="X57" s="79">
        <f t="shared" si="21"/>
        <v>445</v>
      </c>
      <c r="Y57" s="79">
        <v>1599</v>
      </c>
      <c r="Z57" s="79">
        <v>74</v>
      </c>
      <c r="AA57" s="79">
        <f>SUM(Y57:Z57)</f>
        <v>1673</v>
      </c>
    </row>
    <row r="58" spans="1:27" s="79" customFormat="1" ht="24.95" hidden="1" customHeight="1" outlineLevel="1" x14ac:dyDescent="0.25">
      <c r="A58" s="5"/>
      <c r="B58" s="6"/>
      <c r="C58" s="7"/>
      <c r="D58" s="9">
        <f t="shared" si="28"/>
        <v>0</v>
      </c>
      <c r="E58" s="7"/>
      <c r="F58" s="7"/>
      <c r="G58" s="7">
        <f t="shared" si="0"/>
        <v>0</v>
      </c>
      <c r="H58" s="7" t="e">
        <f t="shared" ref="H58:H59" si="29">F58/E58*100</f>
        <v>#DIV/0!</v>
      </c>
      <c r="I58" s="186" t="s">
        <v>434</v>
      </c>
      <c r="J58" s="243"/>
      <c r="K58" s="244"/>
      <c r="L58" s="244"/>
      <c r="M58" s="147">
        <f t="shared" si="8"/>
        <v>0</v>
      </c>
      <c r="N58" s="148">
        <f t="shared" si="9"/>
        <v>0</v>
      </c>
      <c r="O58" s="244"/>
      <c r="P58" s="244"/>
      <c r="Q58" s="233">
        <f t="shared" si="3"/>
        <v>0</v>
      </c>
      <c r="R58" s="147">
        <f t="shared" si="19"/>
        <v>0</v>
      </c>
      <c r="W58" s="79">
        <f t="shared" si="20"/>
        <v>0</v>
      </c>
      <c r="X58" s="79">
        <f t="shared" si="21"/>
        <v>0</v>
      </c>
    </row>
    <row r="59" spans="1:27" s="79" customFormat="1" ht="24.95" hidden="1" customHeight="1" outlineLevel="1" x14ac:dyDescent="0.25">
      <c r="A59" s="5"/>
      <c r="B59" s="6"/>
      <c r="C59" s="7"/>
      <c r="D59" s="9">
        <f t="shared" si="28"/>
        <v>0</v>
      </c>
      <c r="E59" s="7"/>
      <c r="F59" s="7"/>
      <c r="G59" s="7">
        <f t="shared" si="0"/>
        <v>0</v>
      </c>
      <c r="H59" s="7" t="e">
        <f t="shared" si="29"/>
        <v>#DIV/0!</v>
      </c>
      <c r="I59" s="186"/>
      <c r="J59" s="243"/>
      <c r="K59" s="244"/>
      <c r="L59" s="244"/>
      <c r="M59" s="147">
        <f t="shared" si="8"/>
        <v>0</v>
      </c>
      <c r="N59" s="148">
        <f t="shared" si="9"/>
        <v>0</v>
      </c>
      <c r="O59" s="244"/>
      <c r="P59" s="244"/>
      <c r="Q59" s="233">
        <f t="shared" si="3"/>
        <v>0</v>
      </c>
      <c r="R59" s="147">
        <f t="shared" si="19"/>
        <v>0</v>
      </c>
      <c r="W59" s="79">
        <f t="shared" si="20"/>
        <v>0</v>
      </c>
      <c r="X59" s="79">
        <f t="shared" si="21"/>
        <v>0</v>
      </c>
    </row>
    <row r="60" spans="1:27" s="78" customFormat="1" ht="38.25" customHeight="1" collapsed="1" x14ac:dyDescent="0.25">
      <c r="A60" s="241" t="s">
        <v>55</v>
      </c>
      <c r="B60" s="92">
        <v>1100</v>
      </c>
      <c r="C60" s="9">
        <f>C19+C20+C21-C22-C45-C52</f>
        <v>1773</v>
      </c>
      <c r="D60" s="9">
        <f>F60</f>
        <v>-1433</v>
      </c>
      <c r="E60" s="9">
        <f>E19-E22-E45-E52+E20</f>
        <v>52</v>
      </c>
      <c r="F60" s="9">
        <f>F19+F20-F22-F45-F52</f>
        <v>-1433</v>
      </c>
      <c r="G60" s="7">
        <f t="shared" si="0"/>
        <v>-1485</v>
      </c>
      <c r="H60" s="7">
        <f>F60/E60*100</f>
        <v>-2755.7692307692305</v>
      </c>
      <c r="I60" s="186" t="s">
        <v>497</v>
      </c>
      <c r="J60" s="267"/>
      <c r="K60" s="147">
        <f>K19+K20-K22-K45-K52</f>
        <v>1065.7729199999999</v>
      </c>
      <c r="L60" s="147">
        <f>L19+L20-L22-L45-L52</f>
        <v>-3744.7729199999999</v>
      </c>
      <c r="M60" s="147">
        <f t="shared" si="8"/>
        <v>-2679</v>
      </c>
      <c r="N60" s="148">
        <f t="shared" si="9"/>
        <v>1246</v>
      </c>
      <c r="O60" s="147">
        <f>O19+O20-O22-O45-O52</f>
        <v>141.17180000000008</v>
      </c>
      <c r="P60" s="147">
        <f>P19+P20-P22-P45-P52</f>
        <v>-314</v>
      </c>
      <c r="Q60" s="233">
        <f t="shared" si="3"/>
        <v>-172.82819999999992</v>
      </c>
      <c r="R60" s="147">
        <f t="shared" si="19"/>
        <v>-1260.1718000000001</v>
      </c>
      <c r="U60" s="78">
        <f>U19+U20-U22-U45-U52</f>
        <v>308</v>
      </c>
      <c r="V60" s="78">
        <f>V19+V20-V22-V45-V52</f>
        <v>-820</v>
      </c>
      <c r="W60" s="79">
        <f t="shared" si="20"/>
        <v>-512</v>
      </c>
      <c r="X60" s="79">
        <f t="shared" si="21"/>
        <v>-921</v>
      </c>
      <c r="Y60" s="183">
        <f>Y19+Y20-Y22-Y45-Y52</f>
        <v>270.41130000000021</v>
      </c>
      <c r="Z60" s="183">
        <f>Z19+Z20-Z22-Z45-Z52</f>
        <v>-1703</v>
      </c>
      <c r="AA60" s="183">
        <f>SUM(Y60:Z60)</f>
        <v>-1432.5886999999998</v>
      </c>
    </row>
    <row r="61" spans="1:27" ht="20.100000000000001" customHeight="1" x14ac:dyDescent="0.25">
      <c r="A61" s="5" t="s">
        <v>56</v>
      </c>
      <c r="B61" s="6">
        <v>1110</v>
      </c>
      <c r="C61" s="7">
        <v>0</v>
      </c>
      <c r="D61" s="9">
        <f t="shared" ref="D61:D65" si="30">F61</f>
        <v>0</v>
      </c>
      <c r="E61" s="7">
        <v>0</v>
      </c>
      <c r="F61" s="7">
        <v>0</v>
      </c>
      <c r="G61" s="7">
        <f t="shared" si="0"/>
        <v>0</v>
      </c>
      <c r="H61" s="7">
        <v>0</v>
      </c>
      <c r="I61" s="144"/>
      <c r="J61" s="267"/>
      <c r="M61" s="147">
        <f t="shared" si="8"/>
        <v>0</v>
      </c>
      <c r="N61" s="148">
        <f t="shared" si="9"/>
        <v>0</v>
      </c>
      <c r="Q61" s="233">
        <f t="shared" si="3"/>
        <v>0</v>
      </c>
      <c r="R61" s="147">
        <f t="shared" si="19"/>
        <v>0</v>
      </c>
      <c r="W61" s="79">
        <f t="shared" si="20"/>
        <v>0</v>
      </c>
      <c r="X61" s="79">
        <f t="shared" si="21"/>
        <v>0</v>
      </c>
    </row>
    <row r="62" spans="1:27" x14ac:dyDescent="0.25">
      <c r="A62" s="5" t="s">
        <v>57</v>
      </c>
      <c r="B62" s="6">
        <v>1120</v>
      </c>
      <c r="C62" s="7">
        <v>0</v>
      </c>
      <c r="D62" s="9">
        <f t="shared" si="30"/>
        <v>0</v>
      </c>
      <c r="E62" s="7">
        <v>0</v>
      </c>
      <c r="F62" s="7">
        <v>0</v>
      </c>
      <c r="G62" s="7">
        <f t="shared" si="0"/>
        <v>0</v>
      </c>
      <c r="H62" s="7">
        <v>0</v>
      </c>
      <c r="I62" s="144"/>
      <c r="J62" s="267"/>
      <c r="M62" s="147">
        <f t="shared" si="8"/>
        <v>0</v>
      </c>
      <c r="N62" s="148">
        <f t="shared" si="9"/>
        <v>0</v>
      </c>
      <c r="Q62" s="233">
        <f t="shared" si="3"/>
        <v>0</v>
      </c>
      <c r="R62" s="147">
        <f t="shared" si="19"/>
        <v>0</v>
      </c>
      <c r="W62" s="79">
        <f t="shared" si="20"/>
        <v>0</v>
      </c>
      <c r="X62" s="79">
        <f t="shared" si="21"/>
        <v>0</v>
      </c>
    </row>
    <row r="63" spans="1:27" x14ac:dyDescent="0.25">
      <c r="A63" s="5" t="s">
        <v>58</v>
      </c>
      <c r="B63" s="6">
        <v>1130</v>
      </c>
      <c r="C63" s="7">
        <v>0</v>
      </c>
      <c r="D63" s="9">
        <f t="shared" si="30"/>
        <v>0</v>
      </c>
      <c r="E63" s="7">
        <v>0</v>
      </c>
      <c r="F63" s="7">
        <v>0</v>
      </c>
      <c r="G63" s="7">
        <f t="shared" si="0"/>
        <v>0</v>
      </c>
      <c r="H63" s="7">
        <v>0</v>
      </c>
      <c r="I63" s="144"/>
      <c r="J63" s="267"/>
      <c r="M63" s="147">
        <f t="shared" si="8"/>
        <v>0</v>
      </c>
      <c r="N63" s="148">
        <f t="shared" si="9"/>
        <v>0</v>
      </c>
      <c r="Q63" s="233">
        <f t="shared" si="3"/>
        <v>0</v>
      </c>
      <c r="R63" s="147">
        <f t="shared" si="19"/>
        <v>0</v>
      </c>
      <c r="W63" s="79">
        <f t="shared" si="20"/>
        <v>0</v>
      </c>
      <c r="X63" s="79">
        <f t="shared" si="21"/>
        <v>0</v>
      </c>
    </row>
    <row r="64" spans="1:27" ht="33.75" x14ac:dyDescent="0.25">
      <c r="A64" s="5" t="s">
        <v>59</v>
      </c>
      <c r="B64" s="6">
        <v>1140</v>
      </c>
      <c r="C64" s="7">
        <v>61</v>
      </c>
      <c r="D64" s="9">
        <f t="shared" si="30"/>
        <v>33</v>
      </c>
      <c r="E64" s="7">
        <v>80</v>
      </c>
      <c r="F64" s="7">
        <v>33</v>
      </c>
      <c r="G64" s="7">
        <f t="shared" si="0"/>
        <v>-47</v>
      </c>
      <c r="H64" s="7">
        <f>F64/E64*100</f>
        <v>41.25</v>
      </c>
      <c r="I64" s="186" t="s">
        <v>490</v>
      </c>
      <c r="J64" s="267"/>
      <c r="K64" s="234">
        <v>3</v>
      </c>
      <c r="L64" s="234">
        <v>4</v>
      </c>
      <c r="M64" s="147">
        <f t="shared" si="8"/>
        <v>7</v>
      </c>
      <c r="N64" s="148">
        <f t="shared" si="9"/>
        <v>26</v>
      </c>
      <c r="O64" s="234">
        <v>6</v>
      </c>
      <c r="P64" s="234">
        <v>8</v>
      </c>
      <c r="Q64" s="233">
        <f t="shared" si="3"/>
        <v>14</v>
      </c>
      <c r="R64" s="147">
        <f t="shared" si="19"/>
        <v>19</v>
      </c>
      <c r="U64" s="1">
        <v>9</v>
      </c>
      <c r="V64" s="1">
        <v>12</v>
      </c>
      <c r="W64" s="79">
        <f t="shared" si="20"/>
        <v>21</v>
      </c>
      <c r="X64" s="79">
        <f t="shared" si="21"/>
        <v>12</v>
      </c>
      <c r="Y64" s="1">
        <v>14</v>
      </c>
      <c r="Z64" s="1">
        <v>20</v>
      </c>
      <c r="AA64" s="1">
        <f>SUM(Y64:Z64)</f>
        <v>34</v>
      </c>
    </row>
    <row r="65" spans="1:27" ht="22.5" x14ac:dyDescent="0.25">
      <c r="A65" s="241" t="s">
        <v>60</v>
      </c>
      <c r="B65" s="6">
        <v>1150</v>
      </c>
      <c r="C65" s="9">
        <v>442</v>
      </c>
      <c r="D65" s="9">
        <f t="shared" si="30"/>
        <v>461</v>
      </c>
      <c r="E65" s="9">
        <v>480</v>
      </c>
      <c r="F65" s="9">
        <v>461</v>
      </c>
      <c r="G65" s="7">
        <f t="shared" si="0"/>
        <v>-19</v>
      </c>
      <c r="H65" s="7">
        <f t="shared" ref="H65:H73" si="31">F65/E65*100</f>
        <v>96.041666666666671</v>
      </c>
      <c r="I65" s="186" t="s">
        <v>489</v>
      </c>
      <c r="J65" s="267"/>
      <c r="K65" s="234">
        <v>110</v>
      </c>
      <c r="L65" s="56">
        <f>F65-K65</f>
        <v>351</v>
      </c>
      <c r="M65" s="147">
        <f t="shared" si="8"/>
        <v>461</v>
      </c>
      <c r="N65" s="148">
        <f t="shared" si="9"/>
        <v>0</v>
      </c>
      <c r="O65" s="234">
        <v>215</v>
      </c>
      <c r="P65" s="234">
        <v>6</v>
      </c>
      <c r="Q65" s="233">
        <f t="shared" si="3"/>
        <v>221</v>
      </c>
      <c r="R65" s="147">
        <f t="shared" si="19"/>
        <v>240</v>
      </c>
      <c r="U65" s="1">
        <v>328</v>
      </c>
      <c r="V65" s="1">
        <v>2</v>
      </c>
      <c r="W65" s="79">
        <f t="shared" si="20"/>
        <v>330</v>
      </c>
      <c r="X65" s="79">
        <f t="shared" si="21"/>
        <v>131</v>
      </c>
      <c r="Y65" s="1">
        <v>461</v>
      </c>
      <c r="Z65" s="1">
        <v>0</v>
      </c>
      <c r="AA65" s="1">
        <f t="shared" ref="AA65:AA69" si="32">SUM(Y65:Z65)</f>
        <v>461</v>
      </c>
    </row>
    <row r="66" spans="1:27" ht="20.100000000000001" customHeight="1" x14ac:dyDescent="0.25">
      <c r="A66" s="5" t="s">
        <v>23</v>
      </c>
      <c r="B66" s="6">
        <v>1151</v>
      </c>
      <c r="C66" s="7">
        <v>0</v>
      </c>
      <c r="D66" s="7">
        <f t="shared" ref="D66:D75" si="33">F66</f>
        <v>0</v>
      </c>
      <c r="E66" s="7">
        <v>0</v>
      </c>
      <c r="F66" s="7">
        <v>0</v>
      </c>
      <c r="G66" s="7">
        <f t="shared" si="0"/>
        <v>0</v>
      </c>
      <c r="H66" s="7">
        <v>0</v>
      </c>
      <c r="I66" s="186"/>
      <c r="J66" s="267"/>
      <c r="M66" s="147">
        <f t="shared" si="8"/>
        <v>0</v>
      </c>
      <c r="N66" s="148">
        <f t="shared" si="9"/>
        <v>0</v>
      </c>
      <c r="Q66" s="233">
        <f t="shared" si="3"/>
        <v>0</v>
      </c>
      <c r="R66" s="147">
        <f t="shared" si="19"/>
        <v>0</v>
      </c>
      <c r="W66" s="79">
        <f t="shared" si="20"/>
        <v>0</v>
      </c>
      <c r="X66" s="79">
        <f t="shared" si="21"/>
        <v>0</v>
      </c>
      <c r="AA66" s="1">
        <f t="shared" si="32"/>
        <v>0</v>
      </c>
    </row>
    <row r="67" spans="1:27" ht="22.5" x14ac:dyDescent="0.25">
      <c r="A67" s="241" t="s">
        <v>61</v>
      </c>
      <c r="B67" s="6">
        <v>1160</v>
      </c>
      <c r="C67" s="9">
        <v>1</v>
      </c>
      <c r="D67" s="7">
        <f t="shared" si="33"/>
        <v>43</v>
      </c>
      <c r="E67" s="9">
        <v>320</v>
      </c>
      <c r="F67" s="9">
        <v>43</v>
      </c>
      <c r="G67" s="7">
        <f t="shared" si="0"/>
        <v>-277</v>
      </c>
      <c r="H67" s="7">
        <f t="shared" si="31"/>
        <v>13.4375</v>
      </c>
      <c r="I67" s="186" t="s">
        <v>498</v>
      </c>
      <c r="J67" s="267"/>
      <c r="K67" s="234">
        <v>12</v>
      </c>
      <c r="L67" s="234">
        <v>0</v>
      </c>
      <c r="M67" s="147">
        <f t="shared" si="8"/>
        <v>12</v>
      </c>
      <c r="N67" s="148">
        <f t="shared" si="9"/>
        <v>31</v>
      </c>
      <c r="O67" s="234">
        <v>6</v>
      </c>
      <c r="P67" s="234">
        <v>9</v>
      </c>
      <c r="Q67" s="233">
        <f t="shared" si="3"/>
        <v>15</v>
      </c>
      <c r="R67" s="147">
        <f t="shared" si="19"/>
        <v>28</v>
      </c>
      <c r="U67" s="1">
        <v>6</v>
      </c>
      <c r="V67" s="1">
        <v>9</v>
      </c>
      <c r="W67" s="79">
        <f t="shared" si="20"/>
        <v>15</v>
      </c>
      <c r="X67" s="79">
        <f t="shared" si="21"/>
        <v>28</v>
      </c>
      <c r="Y67" s="1">
        <v>8</v>
      </c>
      <c r="Z67" s="1">
        <v>35</v>
      </c>
      <c r="AA67" s="1">
        <f t="shared" si="32"/>
        <v>43</v>
      </c>
    </row>
    <row r="68" spans="1:27" x14ac:dyDescent="0.25">
      <c r="A68" s="5" t="s">
        <v>23</v>
      </c>
      <c r="B68" s="6">
        <v>1161</v>
      </c>
      <c r="C68" s="7">
        <v>0</v>
      </c>
      <c r="D68" s="7">
        <f t="shared" si="33"/>
        <v>0</v>
      </c>
      <c r="E68" s="7">
        <v>0</v>
      </c>
      <c r="F68" s="7">
        <v>0</v>
      </c>
      <c r="G68" s="7">
        <f t="shared" si="0"/>
        <v>0</v>
      </c>
      <c r="H68" s="7">
        <v>0</v>
      </c>
      <c r="I68" s="144"/>
      <c r="J68" s="267"/>
      <c r="M68" s="147">
        <f t="shared" si="8"/>
        <v>0</v>
      </c>
      <c r="N68" s="148">
        <f t="shared" si="9"/>
        <v>0</v>
      </c>
      <c r="Q68" s="233">
        <f t="shared" si="3"/>
        <v>0</v>
      </c>
      <c r="R68" s="147">
        <f t="shared" si="19"/>
        <v>0</v>
      </c>
      <c r="W68" s="79">
        <f t="shared" si="20"/>
        <v>0</v>
      </c>
      <c r="X68" s="79">
        <f t="shared" si="21"/>
        <v>0</v>
      </c>
      <c r="AA68" s="1">
        <f t="shared" si="32"/>
        <v>0</v>
      </c>
    </row>
    <row r="69" spans="1:27" s="78" customFormat="1" ht="39" customHeight="1" x14ac:dyDescent="0.25">
      <c r="A69" s="241" t="s">
        <v>62</v>
      </c>
      <c r="B69" s="92">
        <v>1170</v>
      </c>
      <c r="C69" s="9">
        <f>C60+C61+C62-C63-C64+C65-C67</f>
        <v>2153</v>
      </c>
      <c r="D69" s="7">
        <f t="shared" si="33"/>
        <v>-1048</v>
      </c>
      <c r="E69" s="9">
        <f>E60+E65-E67-E64</f>
        <v>132</v>
      </c>
      <c r="F69" s="9">
        <f>F60+F65-F64-F67</f>
        <v>-1048</v>
      </c>
      <c r="G69" s="7">
        <f t="shared" si="0"/>
        <v>-1180</v>
      </c>
      <c r="H69" s="7">
        <f t="shared" si="31"/>
        <v>-793.93939393939399</v>
      </c>
      <c r="I69" s="186" t="s">
        <v>499</v>
      </c>
      <c r="J69" s="267"/>
      <c r="K69" s="147">
        <f>K60-K64+K65-K67</f>
        <v>1160.7729199999999</v>
      </c>
      <c r="L69" s="147">
        <f>L60-L64+L65-L67</f>
        <v>-3397.7729199999999</v>
      </c>
      <c r="M69" s="147">
        <f t="shared" si="8"/>
        <v>-2237</v>
      </c>
      <c r="N69" s="147">
        <f t="shared" si="9"/>
        <v>1189</v>
      </c>
      <c r="O69" s="147">
        <f>O60+O65-O64-O67</f>
        <v>344.17180000000008</v>
      </c>
      <c r="P69" s="147">
        <f>P60+P65-P64-P67</f>
        <v>-325</v>
      </c>
      <c r="Q69" s="147">
        <f>SUM(O69:P69)</f>
        <v>19.171800000000076</v>
      </c>
      <c r="R69" s="147">
        <f t="shared" si="19"/>
        <v>-1067.1718000000001</v>
      </c>
      <c r="U69" s="9">
        <f>U60+U65-U64-U67</f>
        <v>621</v>
      </c>
      <c r="V69" s="9">
        <f>V60+V65-V64-V67</f>
        <v>-839</v>
      </c>
      <c r="W69" s="79">
        <f t="shared" si="20"/>
        <v>-218</v>
      </c>
      <c r="X69" s="68">
        <f>F69-W69</f>
        <v>-830</v>
      </c>
      <c r="Y69" s="183">
        <f>Y60+Y65-Y64-Y67</f>
        <v>709.41130000000021</v>
      </c>
      <c r="Z69" s="78">
        <f>Z60+Z65-Z64-Z67</f>
        <v>-1758</v>
      </c>
      <c r="AA69" s="1">
        <f t="shared" si="32"/>
        <v>-1048.5886999999998</v>
      </c>
    </row>
    <row r="70" spans="1:27" x14ac:dyDescent="0.25">
      <c r="A70" s="245" t="s">
        <v>63</v>
      </c>
      <c r="B70" s="6">
        <v>1180</v>
      </c>
      <c r="C70" s="7">
        <v>125</v>
      </c>
      <c r="D70" s="7">
        <f t="shared" si="33"/>
        <v>0</v>
      </c>
      <c r="E70" s="7">
        <v>24</v>
      </c>
      <c r="F70" s="7">
        <v>0</v>
      </c>
      <c r="G70" s="7">
        <f t="shared" si="0"/>
        <v>-24</v>
      </c>
      <c r="H70" s="7">
        <f t="shared" si="31"/>
        <v>0</v>
      </c>
      <c r="I70" s="144"/>
      <c r="J70" s="267"/>
      <c r="K70" s="149">
        <v>52</v>
      </c>
      <c r="L70" s="149">
        <v>0</v>
      </c>
      <c r="M70" s="147">
        <f t="shared" si="8"/>
        <v>52</v>
      </c>
      <c r="N70" s="148">
        <f t="shared" si="9"/>
        <v>-52</v>
      </c>
      <c r="Q70" s="233">
        <f t="shared" si="3"/>
        <v>0</v>
      </c>
      <c r="R70" s="147"/>
      <c r="W70" s="79">
        <f t="shared" si="20"/>
        <v>0</v>
      </c>
      <c r="X70" s="79">
        <f t="shared" si="21"/>
        <v>0</v>
      </c>
    </row>
    <row r="71" spans="1:27" x14ac:dyDescent="0.25">
      <c r="A71" s="245" t="s">
        <v>64</v>
      </c>
      <c r="B71" s="6">
        <v>1190</v>
      </c>
      <c r="C71" s="7">
        <v>0</v>
      </c>
      <c r="D71" s="7">
        <f t="shared" si="33"/>
        <v>0</v>
      </c>
      <c r="E71" s="7">
        <v>0</v>
      </c>
      <c r="F71" s="7">
        <v>0</v>
      </c>
      <c r="G71" s="7">
        <f>F71-E71</f>
        <v>0</v>
      </c>
      <c r="H71" s="7">
        <v>0</v>
      </c>
      <c r="I71" s="144"/>
      <c r="J71" s="267"/>
      <c r="M71" s="147">
        <f t="shared" si="8"/>
        <v>0</v>
      </c>
      <c r="N71" s="148">
        <f t="shared" si="9"/>
        <v>0</v>
      </c>
      <c r="Q71" s="233">
        <f t="shared" si="3"/>
        <v>0</v>
      </c>
      <c r="W71" s="79">
        <f t="shared" si="20"/>
        <v>0</v>
      </c>
      <c r="X71" s="79">
        <f t="shared" si="21"/>
        <v>0</v>
      </c>
    </row>
    <row r="72" spans="1:27" s="78" customFormat="1" ht="22.5" x14ac:dyDescent="0.25">
      <c r="A72" s="241" t="s">
        <v>65</v>
      </c>
      <c r="B72" s="92">
        <v>1200</v>
      </c>
      <c r="C72" s="9">
        <f>C69-C70</f>
        <v>2028</v>
      </c>
      <c r="D72" s="7">
        <f>F72</f>
        <v>-1048</v>
      </c>
      <c r="E72" s="9">
        <f>E69-E70</f>
        <v>108</v>
      </c>
      <c r="F72" s="9">
        <f>F69-F70</f>
        <v>-1048</v>
      </c>
      <c r="G72" s="7">
        <f t="shared" si="0"/>
        <v>-1156</v>
      </c>
      <c r="H72" s="7">
        <f t="shared" si="31"/>
        <v>-970.37037037037044</v>
      </c>
      <c r="I72" s="186" t="s">
        <v>499</v>
      </c>
      <c r="J72" s="267"/>
      <c r="K72" s="233"/>
      <c r="L72" s="233"/>
      <c r="M72" s="147">
        <f t="shared" si="8"/>
        <v>0</v>
      </c>
      <c r="N72" s="148">
        <f t="shared" si="9"/>
        <v>-1048</v>
      </c>
      <c r="O72" s="233"/>
      <c r="P72" s="233"/>
      <c r="Q72" s="233">
        <f t="shared" si="3"/>
        <v>0</v>
      </c>
      <c r="R72" s="233"/>
      <c r="W72" s="79">
        <f t="shared" si="20"/>
        <v>0</v>
      </c>
      <c r="X72" s="79">
        <f t="shared" si="21"/>
        <v>-1048</v>
      </c>
      <c r="Y72" s="183">
        <f>Y69-Y70</f>
        <v>709.41130000000021</v>
      </c>
      <c r="Z72" s="78">
        <f t="shared" ref="Z72:AA72" si="34">Z69-Z70</f>
        <v>-1758</v>
      </c>
      <c r="AA72" s="78">
        <f t="shared" si="34"/>
        <v>-1048.5886999999998</v>
      </c>
    </row>
    <row r="73" spans="1:27" ht="20.100000000000001" customHeight="1" x14ac:dyDescent="0.25">
      <c r="A73" s="5" t="s">
        <v>66</v>
      </c>
      <c r="B73" s="235">
        <v>1201</v>
      </c>
      <c r="C73" s="240">
        <f>C72</f>
        <v>2028</v>
      </c>
      <c r="D73" s="7">
        <f t="shared" si="33"/>
        <v>0</v>
      </c>
      <c r="E73" s="240">
        <f>E72</f>
        <v>108</v>
      </c>
      <c r="F73" s="240">
        <v>0</v>
      </c>
      <c r="G73" s="7">
        <f t="shared" si="0"/>
        <v>-108</v>
      </c>
      <c r="H73" s="7">
        <f t="shared" si="31"/>
        <v>0</v>
      </c>
      <c r="I73" s="145"/>
      <c r="J73" s="267"/>
      <c r="M73" s="147">
        <f t="shared" si="8"/>
        <v>0</v>
      </c>
      <c r="N73" s="148">
        <f t="shared" si="9"/>
        <v>0</v>
      </c>
      <c r="Q73" s="233">
        <f t="shared" si="3"/>
        <v>0</v>
      </c>
      <c r="W73" s="79">
        <f t="shared" si="20"/>
        <v>0</v>
      </c>
      <c r="X73" s="79">
        <f t="shared" si="21"/>
        <v>0</v>
      </c>
    </row>
    <row r="74" spans="1:27" ht="20.100000000000001" customHeight="1" x14ac:dyDescent="0.25">
      <c r="A74" s="5" t="s">
        <v>67</v>
      </c>
      <c r="B74" s="235">
        <v>1202</v>
      </c>
      <c r="C74" s="240">
        <v>0</v>
      </c>
      <c r="D74" s="7">
        <f t="shared" si="33"/>
        <v>-1048</v>
      </c>
      <c r="E74" s="240">
        <v>0</v>
      </c>
      <c r="F74" s="240">
        <f>F72</f>
        <v>-1048</v>
      </c>
      <c r="G74" s="7">
        <f t="shared" ref="G74:G75" si="35">F74-E74</f>
        <v>-1048</v>
      </c>
      <c r="H74" s="7">
        <v>0</v>
      </c>
      <c r="I74" s="65"/>
      <c r="J74" s="267"/>
      <c r="M74" s="147">
        <f t="shared" ref="M74:M97" si="36">SUM(K74:L74)</f>
        <v>0</v>
      </c>
      <c r="N74" s="148">
        <f t="shared" ref="N74:N96" si="37">F74-M74</f>
        <v>-1048</v>
      </c>
      <c r="Q74" s="233">
        <f t="shared" ref="Q74:Q90" si="38">SUM(O74:P74)</f>
        <v>0</v>
      </c>
      <c r="W74" s="79">
        <f t="shared" si="20"/>
        <v>0</v>
      </c>
      <c r="X74" s="79">
        <f t="shared" si="21"/>
        <v>-1048</v>
      </c>
    </row>
    <row r="75" spans="1:27" ht="20.100000000000001" customHeight="1" x14ac:dyDescent="0.25">
      <c r="A75" s="5" t="s">
        <v>68</v>
      </c>
      <c r="B75" s="6">
        <v>1210</v>
      </c>
      <c r="C75" s="7">
        <v>0</v>
      </c>
      <c r="D75" s="7">
        <f t="shared" si="33"/>
        <v>0</v>
      </c>
      <c r="E75" s="7">
        <v>0</v>
      </c>
      <c r="F75" s="7">
        <v>0</v>
      </c>
      <c r="G75" s="7">
        <f t="shared" si="35"/>
        <v>0</v>
      </c>
      <c r="H75" s="7">
        <v>0</v>
      </c>
      <c r="I75" s="64"/>
      <c r="J75" s="267"/>
      <c r="M75" s="147">
        <f t="shared" si="36"/>
        <v>0</v>
      </c>
      <c r="N75" s="148">
        <f t="shared" si="37"/>
        <v>0</v>
      </c>
      <c r="Q75" s="233">
        <f t="shared" si="38"/>
        <v>0</v>
      </c>
      <c r="W75" s="79">
        <f t="shared" si="20"/>
        <v>0</v>
      </c>
      <c r="X75" s="79">
        <f t="shared" si="21"/>
        <v>0</v>
      </c>
    </row>
    <row r="76" spans="1:27" s="78" customFormat="1" x14ac:dyDescent="0.25">
      <c r="A76" s="268" t="s">
        <v>69</v>
      </c>
      <c r="B76" s="268"/>
      <c r="C76" s="268"/>
      <c r="D76" s="268"/>
      <c r="E76" s="268"/>
      <c r="F76" s="268"/>
      <c r="G76" s="268"/>
      <c r="H76" s="268"/>
      <c r="I76" s="268"/>
      <c r="J76" s="267"/>
      <c r="K76" s="233"/>
      <c r="L76" s="233"/>
      <c r="M76" s="147">
        <f t="shared" si="36"/>
        <v>0</v>
      </c>
      <c r="N76" s="148">
        <f t="shared" si="37"/>
        <v>0</v>
      </c>
      <c r="O76" s="233"/>
      <c r="P76" s="233"/>
      <c r="Q76" s="233">
        <f t="shared" si="38"/>
        <v>0</v>
      </c>
      <c r="R76" s="233"/>
      <c r="W76" s="79">
        <f t="shared" si="20"/>
        <v>0</v>
      </c>
      <c r="X76" s="79">
        <f t="shared" si="21"/>
        <v>0</v>
      </c>
    </row>
    <row r="77" spans="1:27" s="78" customFormat="1" ht="37.5" x14ac:dyDescent="0.25">
      <c r="A77" s="52" t="s">
        <v>70</v>
      </c>
      <c r="B77" s="93">
        <v>1300</v>
      </c>
      <c r="C77" s="25">
        <f>C20-C52</f>
        <v>3432</v>
      </c>
      <c r="D77" s="25">
        <f>F77</f>
        <v>-715</v>
      </c>
      <c r="E77" s="25">
        <f>E20-E52</f>
        <v>960</v>
      </c>
      <c r="F77" s="25">
        <f>F20-F52</f>
        <v>-715</v>
      </c>
      <c r="G77" s="7">
        <f>F77-E77</f>
        <v>-1675</v>
      </c>
      <c r="H77" s="9">
        <f>F77*100/E77</f>
        <v>-74.479166666666671</v>
      </c>
      <c r="I77" s="145"/>
      <c r="J77" s="267"/>
      <c r="K77" s="233"/>
      <c r="L77" s="233"/>
      <c r="M77" s="147">
        <f t="shared" si="36"/>
        <v>0</v>
      </c>
      <c r="N77" s="148">
        <f t="shared" si="37"/>
        <v>-715</v>
      </c>
      <c r="O77" s="233">
        <f>O20-O52</f>
        <v>-326</v>
      </c>
      <c r="P77" s="233">
        <f>P20-P52</f>
        <v>-22</v>
      </c>
      <c r="Q77" s="233">
        <f t="shared" si="38"/>
        <v>-348</v>
      </c>
      <c r="R77" s="233"/>
      <c r="W77" s="79">
        <f t="shared" si="20"/>
        <v>0</v>
      </c>
      <c r="X77" s="79">
        <f t="shared" si="21"/>
        <v>-715</v>
      </c>
      <c r="Y77" s="78">
        <f>Y20-Y52</f>
        <v>-641</v>
      </c>
      <c r="Z77" s="78">
        <f t="shared" ref="Z77:AA77" si="39">Z20-Z52</f>
        <v>-74</v>
      </c>
      <c r="AA77" s="78">
        <f t="shared" si="39"/>
        <v>-715</v>
      </c>
    </row>
    <row r="78" spans="1:27" ht="31.5" x14ac:dyDescent="0.25">
      <c r="A78" s="59" t="s">
        <v>71</v>
      </c>
      <c r="B78" s="235">
        <v>1310</v>
      </c>
      <c r="C78" s="240">
        <f>C61+C62-C63-C64</f>
        <v>-61</v>
      </c>
      <c r="D78" s="240">
        <f t="shared" ref="D78:D81" si="40">F78</f>
        <v>-33</v>
      </c>
      <c r="E78" s="240">
        <f>E61+E62-E63-E64</f>
        <v>-80</v>
      </c>
      <c r="F78" s="240">
        <f>F61+F62-F63-F64</f>
        <v>-33</v>
      </c>
      <c r="G78" s="7">
        <f t="shared" ref="G78:G81" si="41">F78-E78</f>
        <v>47</v>
      </c>
      <c r="H78" s="9">
        <f t="shared" ref="H78:H81" si="42">F78*100/E78</f>
        <v>41.25</v>
      </c>
      <c r="I78" s="145"/>
      <c r="J78" s="267"/>
      <c r="M78" s="147">
        <f t="shared" si="36"/>
        <v>0</v>
      </c>
      <c r="N78" s="148">
        <f t="shared" si="37"/>
        <v>-33</v>
      </c>
      <c r="O78" s="234">
        <f>O61+O62-O63-O64</f>
        <v>-6</v>
      </c>
      <c r="P78" s="234">
        <f>P61+P62-P63-P64</f>
        <v>-8</v>
      </c>
      <c r="Q78" s="233">
        <f t="shared" si="38"/>
        <v>-14</v>
      </c>
      <c r="W78" s="79">
        <f t="shared" si="20"/>
        <v>0</v>
      </c>
      <c r="X78" s="79">
        <f t="shared" si="21"/>
        <v>-33</v>
      </c>
      <c r="Y78" s="1">
        <f>Y61+Y62-Y63-Y64</f>
        <v>-14</v>
      </c>
      <c r="Z78" s="1">
        <f t="shared" ref="Z78:AA78" si="43">Z61+Z62-Z63-Z64</f>
        <v>-20</v>
      </c>
      <c r="AA78" s="1">
        <f t="shared" si="43"/>
        <v>-34</v>
      </c>
    </row>
    <row r="79" spans="1:27" ht="31.5" x14ac:dyDescent="0.25">
      <c r="A79" s="60" t="s">
        <v>72</v>
      </c>
      <c r="B79" s="235">
        <v>1320</v>
      </c>
      <c r="C79" s="240">
        <f>C65-C67</f>
        <v>441</v>
      </c>
      <c r="D79" s="240">
        <f>F79</f>
        <v>418</v>
      </c>
      <c r="E79" s="240">
        <f>E65-E67</f>
        <v>160</v>
      </c>
      <c r="F79" s="240">
        <f>F65-F67</f>
        <v>418</v>
      </c>
      <c r="G79" s="7">
        <f t="shared" si="41"/>
        <v>258</v>
      </c>
      <c r="H79" s="9">
        <f t="shared" si="42"/>
        <v>261.25</v>
      </c>
      <c r="I79" s="145"/>
      <c r="J79" s="267"/>
      <c r="M79" s="147">
        <f t="shared" si="36"/>
        <v>0</v>
      </c>
      <c r="N79" s="148">
        <f t="shared" si="37"/>
        <v>418</v>
      </c>
      <c r="O79" s="234">
        <f>O65-O67</f>
        <v>209</v>
      </c>
      <c r="P79" s="234">
        <f>P65-P67</f>
        <v>-3</v>
      </c>
      <c r="Q79" s="233">
        <f t="shared" si="38"/>
        <v>206</v>
      </c>
      <c r="W79" s="79">
        <f t="shared" si="20"/>
        <v>0</v>
      </c>
      <c r="X79" s="79">
        <f t="shared" si="21"/>
        <v>418</v>
      </c>
      <c r="Y79" s="1">
        <f>Y65-Y67</f>
        <v>453</v>
      </c>
      <c r="Z79" s="1">
        <f t="shared" ref="Z79:AA79" si="44">Z65-Z67</f>
        <v>-35</v>
      </c>
      <c r="AA79" s="1">
        <f t="shared" si="44"/>
        <v>418</v>
      </c>
    </row>
    <row r="80" spans="1:27" s="78" customFormat="1" ht="27" customHeight="1" x14ac:dyDescent="0.25">
      <c r="A80" s="58" t="s">
        <v>73</v>
      </c>
      <c r="B80" s="92">
        <v>1330</v>
      </c>
      <c r="C80" s="9">
        <f>C9+C20+C65</f>
        <v>28818</v>
      </c>
      <c r="D80" s="25">
        <f t="shared" si="40"/>
        <v>30587</v>
      </c>
      <c r="E80" s="9">
        <f>E9+E20+E61+E62+E65</f>
        <v>28880</v>
      </c>
      <c r="F80" s="9">
        <f>F9+F20+F62+F65</f>
        <v>30587</v>
      </c>
      <c r="G80" s="7">
        <f t="shared" si="41"/>
        <v>1707</v>
      </c>
      <c r="H80" s="9">
        <f t="shared" si="42"/>
        <v>105.9106648199446</v>
      </c>
      <c r="I80" s="186" t="s">
        <v>506</v>
      </c>
      <c r="J80" s="267"/>
      <c r="K80" s="147">
        <f>K9+K20+K65</f>
        <v>4382</v>
      </c>
      <c r="L80" s="147">
        <f>F80-K80</f>
        <v>26205</v>
      </c>
      <c r="M80" s="147">
        <f t="shared" si="36"/>
        <v>30587</v>
      </c>
      <c r="N80" s="147">
        <f t="shared" si="37"/>
        <v>0</v>
      </c>
      <c r="O80" s="233">
        <f>O9+O20+O65</f>
        <v>7156</v>
      </c>
      <c r="P80" s="233">
        <f>P9+P20+P65</f>
        <v>8094</v>
      </c>
      <c r="Q80" s="233">
        <f t="shared" si="38"/>
        <v>15250</v>
      </c>
      <c r="R80" s="233"/>
      <c r="U80" s="78">
        <f>U9+U20+U62+U65</f>
        <v>10810</v>
      </c>
      <c r="V80" s="78">
        <f>V9+V20+V62+V65</f>
        <v>12135</v>
      </c>
      <c r="W80" s="79">
        <f t="shared" si="20"/>
        <v>22945</v>
      </c>
      <c r="X80" s="79">
        <f t="shared" si="21"/>
        <v>7642</v>
      </c>
      <c r="Y80" s="78">
        <f>Y9+Y20+Y62+Y65</f>
        <v>14461</v>
      </c>
      <c r="Z80" s="78">
        <f t="shared" ref="Z80:AA80" si="45">Z9+Z20+Z62+Z65</f>
        <v>16126</v>
      </c>
      <c r="AA80" s="78">
        <f t="shared" si="45"/>
        <v>30587</v>
      </c>
    </row>
    <row r="81" spans="1:27" s="78" customFormat="1" ht="25.5" customHeight="1" x14ac:dyDescent="0.25">
      <c r="A81" s="241" t="s">
        <v>74</v>
      </c>
      <c r="B81" s="92">
        <v>1340</v>
      </c>
      <c r="C81" s="9">
        <f>C10+C22+C45+C52+C64+C67</f>
        <v>26665</v>
      </c>
      <c r="D81" s="25">
        <f t="shared" si="40"/>
        <v>31635</v>
      </c>
      <c r="E81" s="9">
        <f>E10+E22+E45+E52+E67+E64</f>
        <v>28748</v>
      </c>
      <c r="F81" s="9">
        <f>F10+F22+F45+F52+F64+F67</f>
        <v>31635</v>
      </c>
      <c r="G81" s="7">
        <f t="shared" si="41"/>
        <v>2887</v>
      </c>
      <c r="H81" s="9">
        <f t="shared" si="42"/>
        <v>110.04243773479894</v>
      </c>
      <c r="I81" s="186" t="s">
        <v>507</v>
      </c>
      <c r="J81" s="267"/>
      <c r="K81" s="147">
        <f>K10+K22+K45+K52+K64</f>
        <v>3209.2270800000001</v>
      </c>
      <c r="L81" s="147">
        <f>F81-K81</f>
        <v>28425.772919999999</v>
      </c>
      <c r="M81" s="147">
        <f t="shared" si="36"/>
        <v>31635</v>
      </c>
      <c r="N81" s="147">
        <f t="shared" si="37"/>
        <v>0</v>
      </c>
      <c r="O81" s="147">
        <f>O10+O22+O45+O52+O64+O67</f>
        <v>6811.8281999999999</v>
      </c>
      <c r="P81" s="147">
        <f>P10+P22+P45+P52+P64+P67</f>
        <v>8419</v>
      </c>
      <c r="Q81" s="233">
        <f t="shared" si="38"/>
        <v>15230.8282</v>
      </c>
      <c r="R81" s="233"/>
      <c r="U81" s="78">
        <f>U10+U22+U45+U52+U64+U67</f>
        <v>10189</v>
      </c>
      <c r="V81" s="78">
        <f>V10+V22+V45+V52+V64+V67</f>
        <v>12974</v>
      </c>
      <c r="W81" s="79">
        <f t="shared" si="20"/>
        <v>23163</v>
      </c>
      <c r="X81" s="79">
        <f t="shared" si="21"/>
        <v>8472</v>
      </c>
      <c r="Y81" s="183">
        <f>Y10+Y22+Y45+Y52+Y64+Y67</f>
        <v>13751.5887</v>
      </c>
      <c r="Z81" s="183">
        <f t="shared" ref="Z81:AA81" si="46">Z10+Z22+Z45+Z52+Z64+Z67</f>
        <v>17884</v>
      </c>
      <c r="AA81" s="183">
        <f t="shared" si="46"/>
        <v>31635.5887</v>
      </c>
    </row>
    <row r="82" spans="1:27" ht="24.95" customHeight="1" x14ac:dyDescent="0.25">
      <c r="A82" s="269" t="s">
        <v>75</v>
      </c>
      <c r="B82" s="269"/>
      <c r="C82" s="269"/>
      <c r="D82" s="269"/>
      <c r="E82" s="269"/>
      <c r="F82" s="269"/>
      <c r="G82" s="269"/>
      <c r="H82" s="269"/>
      <c r="I82" s="269"/>
      <c r="J82" s="267"/>
      <c r="K82" s="149"/>
      <c r="L82" s="149"/>
      <c r="M82" s="147">
        <f t="shared" si="36"/>
        <v>0</v>
      </c>
      <c r="N82" s="147">
        <f t="shared" si="37"/>
        <v>0</v>
      </c>
      <c r="Q82" s="233">
        <f t="shared" si="38"/>
        <v>0</v>
      </c>
      <c r="W82" s="79">
        <f t="shared" si="20"/>
        <v>0</v>
      </c>
      <c r="X82" s="79">
        <f t="shared" si="21"/>
        <v>0</v>
      </c>
    </row>
    <row r="83" spans="1:27" ht="20.100000000000001" customHeight="1" x14ac:dyDescent="0.25">
      <c r="A83" s="245" t="s">
        <v>76</v>
      </c>
      <c r="B83" s="6">
        <v>1400</v>
      </c>
      <c r="C83" s="7">
        <f>C60</f>
        <v>1773</v>
      </c>
      <c r="D83" s="7">
        <f t="shared" ref="D83" si="47">D60</f>
        <v>-1433</v>
      </c>
      <c r="E83" s="7">
        <f>E60</f>
        <v>52</v>
      </c>
      <c r="F83" s="7">
        <f>F60</f>
        <v>-1433</v>
      </c>
      <c r="G83" s="7">
        <f>F83-E83</f>
        <v>-1485</v>
      </c>
      <c r="H83" s="7">
        <f>F83/E83*100</f>
        <v>-2755.7692307692305</v>
      </c>
      <c r="I83" s="64"/>
      <c r="J83" s="267"/>
      <c r="K83" s="149"/>
      <c r="L83" s="149"/>
      <c r="M83" s="147">
        <f t="shared" si="36"/>
        <v>0</v>
      </c>
      <c r="N83" s="147">
        <f t="shared" si="37"/>
        <v>-1433</v>
      </c>
      <c r="Q83" s="233">
        <f t="shared" si="38"/>
        <v>0</v>
      </c>
      <c r="W83" s="79">
        <f t="shared" si="20"/>
        <v>0</v>
      </c>
      <c r="X83" s="79">
        <f t="shared" si="21"/>
        <v>-1433</v>
      </c>
      <c r="Y83" s="184">
        <f>Y60</f>
        <v>270.41130000000021</v>
      </c>
      <c r="Z83" s="184">
        <f t="shared" ref="Z83:AA83" si="48">Z60</f>
        <v>-1703</v>
      </c>
      <c r="AA83" s="184">
        <f t="shared" si="48"/>
        <v>-1432.5886999999998</v>
      </c>
    </row>
    <row r="84" spans="1:27" ht="20.100000000000001" customHeight="1" x14ac:dyDescent="0.25">
      <c r="A84" s="245" t="s">
        <v>77</v>
      </c>
      <c r="B84" s="6">
        <v>1401</v>
      </c>
      <c r="C84" s="7">
        <f>C95</f>
        <v>655</v>
      </c>
      <c r="D84" s="7">
        <f>D95</f>
        <v>678</v>
      </c>
      <c r="E84" s="7">
        <f>E95</f>
        <v>1032</v>
      </c>
      <c r="F84" s="7">
        <f>F95</f>
        <v>678</v>
      </c>
      <c r="G84" s="7">
        <f t="shared" ref="G84:G88" si="49">F84-E84</f>
        <v>-354</v>
      </c>
      <c r="H84" s="7">
        <f t="shared" ref="H84:H88" si="50">F84/E84*100</f>
        <v>65.697674418604649</v>
      </c>
      <c r="I84" s="64"/>
      <c r="J84" s="267"/>
      <c r="K84" s="149"/>
      <c r="L84" s="149"/>
      <c r="M84" s="147">
        <f t="shared" si="36"/>
        <v>0</v>
      </c>
      <c r="N84" s="147">
        <f t="shared" si="37"/>
        <v>678</v>
      </c>
      <c r="Q84" s="233">
        <f t="shared" si="38"/>
        <v>0</v>
      </c>
      <c r="W84" s="79">
        <f t="shared" si="20"/>
        <v>0</v>
      </c>
      <c r="X84" s="79">
        <f t="shared" si="21"/>
        <v>678</v>
      </c>
    </row>
    <row r="85" spans="1:27" ht="20.100000000000001" customHeight="1" x14ac:dyDescent="0.25">
      <c r="A85" s="245" t="s">
        <v>78</v>
      </c>
      <c r="B85" s="6">
        <v>1402</v>
      </c>
      <c r="C85" s="7">
        <f>C21</f>
        <v>0</v>
      </c>
      <c r="D85" s="7">
        <f t="shared" ref="D85:D87" si="51">F85</f>
        <v>0</v>
      </c>
      <c r="E85" s="7">
        <v>0</v>
      </c>
      <c r="F85" s="7">
        <v>0</v>
      </c>
      <c r="G85" s="7">
        <f t="shared" si="49"/>
        <v>0</v>
      </c>
      <c r="H85" s="7">
        <v>0</v>
      </c>
      <c r="I85" s="64"/>
      <c r="J85" s="267"/>
      <c r="K85" s="149"/>
      <c r="L85" s="149"/>
      <c r="M85" s="147">
        <f t="shared" si="36"/>
        <v>0</v>
      </c>
      <c r="N85" s="147">
        <f t="shared" si="37"/>
        <v>0</v>
      </c>
      <c r="Q85" s="233">
        <f t="shared" si="38"/>
        <v>0</v>
      </c>
      <c r="W85" s="79">
        <f t="shared" si="20"/>
        <v>0</v>
      </c>
      <c r="X85" s="79">
        <f t="shared" si="21"/>
        <v>0</v>
      </c>
    </row>
    <row r="86" spans="1:27" ht="20.100000000000001" customHeight="1" x14ac:dyDescent="0.25">
      <c r="A86" s="245" t="s">
        <v>79</v>
      </c>
      <c r="B86" s="6">
        <v>1403</v>
      </c>
      <c r="C86" s="7">
        <f>C56</f>
        <v>0</v>
      </c>
      <c r="D86" s="7">
        <f t="shared" si="51"/>
        <v>0</v>
      </c>
      <c r="E86" s="7">
        <v>0</v>
      </c>
      <c r="F86" s="7">
        <v>0</v>
      </c>
      <c r="G86" s="7">
        <f t="shared" si="49"/>
        <v>0</v>
      </c>
      <c r="H86" s="7">
        <v>0</v>
      </c>
      <c r="I86" s="64"/>
      <c r="J86" s="267"/>
      <c r="K86" s="149"/>
      <c r="L86" s="149"/>
      <c r="M86" s="147">
        <f t="shared" si="36"/>
        <v>0</v>
      </c>
      <c r="N86" s="147">
        <f t="shared" si="37"/>
        <v>0</v>
      </c>
      <c r="Q86" s="233">
        <f t="shared" si="38"/>
        <v>0</v>
      </c>
      <c r="W86" s="79">
        <f t="shared" si="20"/>
        <v>0</v>
      </c>
      <c r="X86" s="79">
        <f t="shared" si="21"/>
        <v>0</v>
      </c>
    </row>
    <row r="87" spans="1:27" ht="26.25" customHeight="1" x14ac:dyDescent="0.25">
      <c r="A87" s="245" t="s">
        <v>80</v>
      </c>
      <c r="B87" s="6">
        <v>1404</v>
      </c>
      <c r="C87" s="7">
        <v>0</v>
      </c>
      <c r="D87" s="7">
        <f t="shared" si="51"/>
        <v>0</v>
      </c>
      <c r="E87" s="7">
        <v>0</v>
      </c>
      <c r="F87" s="7">
        <v>0</v>
      </c>
      <c r="G87" s="7">
        <f t="shared" si="49"/>
        <v>0</v>
      </c>
      <c r="H87" s="7">
        <v>0</v>
      </c>
      <c r="I87" s="64"/>
      <c r="J87" s="267"/>
      <c r="K87" s="149"/>
      <c r="L87" s="149"/>
      <c r="M87" s="147">
        <f t="shared" si="36"/>
        <v>0</v>
      </c>
      <c r="N87" s="147">
        <f t="shared" si="37"/>
        <v>0</v>
      </c>
      <c r="Q87" s="233">
        <f t="shared" si="38"/>
        <v>0</v>
      </c>
      <c r="W87" s="79">
        <f t="shared" si="20"/>
        <v>0</v>
      </c>
      <c r="X87" s="79">
        <f t="shared" si="21"/>
        <v>0</v>
      </c>
    </row>
    <row r="88" spans="1:27" s="78" customFormat="1" ht="20.100000000000001" customHeight="1" x14ac:dyDescent="0.25">
      <c r="A88" s="241" t="s">
        <v>81</v>
      </c>
      <c r="B88" s="92">
        <v>1410</v>
      </c>
      <c r="C88" s="9">
        <f>C83+C84-C85-C86-C87</f>
        <v>2428</v>
      </c>
      <c r="D88" s="9">
        <f>D83+D84-D85-D86-D87</f>
        <v>-755</v>
      </c>
      <c r="E88" s="9">
        <f>E83+E84-E85-E86-E87</f>
        <v>1084</v>
      </c>
      <c r="F88" s="9">
        <f>F83+F84-F85-F86-F87</f>
        <v>-755</v>
      </c>
      <c r="G88" s="7">
        <f t="shared" si="49"/>
        <v>-1839</v>
      </c>
      <c r="H88" s="7">
        <f t="shared" si="50"/>
        <v>-69.649446494464939</v>
      </c>
      <c r="I88" s="66"/>
      <c r="J88" s="267"/>
      <c r="K88" s="147"/>
      <c r="L88" s="147"/>
      <c r="M88" s="147">
        <f t="shared" si="36"/>
        <v>0</v>
      </c>
      <c r="N88" s="147">
        <f t="shared" si="37"/>
        <v>-755</v>
      </c>
      <c r="O88" s="233"/>
      <c r="P88" s="233"/>
      <c r="Q88" s="233">
        <f t="shared" si="38"/>
        <v>0</v>
      </c>
      <c r="R88" s="233"/>
      <c r="W88" s="79">
        <f t="shared" ref="W88:W97" si="52">SUM(U88:V88)</f>
        <v>0</v>
      </c>
      <c r="X88" s="79">
        <f t="shared" ref="X88:X97" si="53">F88-W88</f>
        <v>-755</v>
      </c>
    </row>
    <row r="89" spans="1:27" ht="24.95" customHeight="1" x14ac:dyDescent="0.25">
      <c r="A89" s="270" t="s">
        <v>82</v>
      </c>
      <c r="B89" s="271"/>
      <c r="C89" s="271"/>
      <c r="D89" s="271"/>
      <c r="E89" s="271"/>
      <c r="F89" s="271"/>
      <c r="G89" s="271"/>
      <c r="H89" s="271"/>
      <c r="I89" s="272"/>
      <c r="J89" s="267"/>
      <c r="K89" s="149"/>
      <c r="L89" s="149"/>
      <c r="M89" s="147">
        <f t="shared" si="36"/>
        <v>0</v>
      </c>
      <c r="N89" s="147">
        <f t="shared" si="37"/>
        <v>0</v>
      </c>
      <c r="Q89" s="233">
        <f t="shared" si="38"/>
        <v>0</v>
      </c>
      <c r="W89" s="79">
        <f t="shared" si="52"/>
        <v>0</v>
      </c>
      <c r="X89" s="79">
        <f t="shared" si="53"/>
        <v>0</v>
      </c>
    </row>
    <row r="90" spans="1:27" ht="27" customHeight="1" x14ac:dyDescent="0.25">
      <c r="A90" s="5" t="s">
        <v>83</v>
      </c>
      <c r="B90" s="6">
        <v>1500</v>
      </c>
      <c r="C90" s="9">
        <f>C91+C92</f>
        <v>5501</v>
      </c>
      <c r="D90" s="9">
        <f>D91+D92</f>
        <v>5485</v>
      </c>
      <c r="E90" s="9">
        <f>E91+E92</f>
        <v>11200</v>
      </c>
      <c r="F90" s="9">
        <f>F91+F92</f>
        <v>5485</v>
      </c>
      <c r="G90" s="7">
        <f>F90-E90</f>
        <v>-5715</v>
      </c>
      <c r="H90" s="9">
        <f>F90/E90*100</f>
        <v>48.973214285714285</v>
      </c>
      <c r="I90" s="144" t="s">
        <v>501</v>
      </c>
      <c r="J90" s="267"/>
      <c r="K90" s="149">
        <f>K91+K92</f>
        <v>628</v>
      </c>
      <c r="L90" s="149">
        <f>L91+L92</f>
        <v>914</v>
      </c>
      <c r="M90" s="147">
        <f t="shared" si="36"/>
        <v>1542</v>
      </c>
      <c r="N90" s="147">
        <f t="shared" si="37"/>
        <v>3943</v>
      </c>
      <c r="O90" s="234">
        <f>O91+O92</f>
        <v>1134</v>
      </c>
      <c r="P90" s="234">
        <f>P91+P92</f>
        <v>1737</v>
      </c>
      <c r="Q90" s="233">
        <f t="shared" si="38"/>
        <v>2871</v>
      </c>
      <c r="U90" s="1">
        <f>U91+U92</f>
        <v>1599</v>
      </c>
      <c r="V90" s="1">
        <f>V91+V92</f>
        <v>2489</v>
      </c>
      <c r="W90" s="79">
        <f t="shared" si="52"/>
        <v>4088</v>
      </c>
      <c r="X90" s="79">
        <f t="shared" si="53"/>
        <v>1397</v>
      </c>
      <c r="Y90" s="154">
        <f>Y91+Y92</f>
        <v>2124.8690999999999</v>
      </c>
      <c r="Z90" s="154">
        <f t="shared" ref="Z90:AA90" si="54">Z91+Z92</f>
        <v>3340</v>
      </c>
      <c r="AA90" s="154">
        <f t="shared" si="54"/>
        <v>5464.8690999999999</v>
      </c>
    </row>
    <row r="91" spans="1:27" ht="29.25" customHeight="1" x14ac:dyDescent="0.3">
      <c r="A91" s="5" t="s">
        <v>13</v>
      </c>
      <c r="B91" s="94">
        <v>1501</v>
      </c>
      <c r="C91" s="240">
        <v>464</v>
      </c>
      <c r="D91" s="7">
        <f t="shared" ref="D91:D96" si="55">F91</f>
        <v>947</v>
      </c>
      <c r="E91" s="240">
        <v>4960</v>
      </c>
      <c r="F91" s="240">
        <f>F11+F23</f>
        <v>947</v>
      </c>
      <c r="G91" s="7">
        <f t="shared" ref="G91:G97" si="56">F91-E91</f>
        <v>-4013</v>
      </c>
      <c r="H91" s="9">
        <f t="shared" ref="H91:H97" si="57">F91/E91*100</f>
        <v>19.092741935483872</v>
      </c>
      <c r="I91" s="144" t="s">
        <v>513</v>
      </c>
      <c r="J91" s="267"/>
      <c r="K91" s="149">
        <f>K11+K23</f>
        <v>113</v>
      </c>
      <c r="L91" s="149">
        <f>L11+L23</f>
        <v>172</v>
      </c>
      <c r="M91" s="147">
        <f t="shared" si="36"/>
        <v>285</v>
      </c>
      <c r="N91" s="147">
        <f t="shared" si="37"/>
        <v>662</v>
      </c>
      <c r="O91" s="234">
        <v>173</v>
      </c>
      <c r="P91" s="234">
        <f>P11+P23</f>
        <v>308</v>
      </c>
      <c r="Q91" s="234">
        <f>SUM(O91:P91)</f>
        <v>481</v>
      </c>
      <c r="U91" s="1">
        <f>U11+U23</f>
        <v>182</v>
      </c>
      <c r="V91" s="1">
        <f>V11+V23</f>
        <v>462</v>
      </c>
      <c r="W91" s="79">
        <f t="shared" si="52"/>
        <v>644</v>
      </c>
      <c r="X91" s="79">
        <f t="shared" si="53"/>
        <v>303</v>
      </c>
      <c r="Y91" s="154">
        <f>Y11+Y23</f>
        <v>321.8691</v>
      </c>
      <c r="Z91" s="154">
        <f t="shared" ref="Z91:AA91" si="58">Z11+Z23</f>
        <v>605</v>
      </c>
      <c r="AA91" s="154">
        <f t="shared" si="58"/>
        <v>926.8691</v>
      </c>
    </row>
    <row r="92" spans="1:27" ht="26.25" customHeight="1" x14ac:dyDescent="0.3">
      <c r="A92" s="5" t="s">
        <v>84</v>
      </c>
      <c r="B92" s="94">
        <v>1502</v>
      </c>
      <c r="C92" s="240">
        <v>5037</v>
      </c>
      <c r="D92" s="7">
        <f t="shared" si="55"/>
        <v>4538</v>
      </c>
      <c r="E92" s="240">
        <v>6240</v>
      </c>
      <c r="F92" s="240">
        <f>F12+F13</f>
        <v>4538</v>
      </c>
      <c r="G92" s="7">
        <f t="shared" si="56"/>
        <v>-1702</v>
      </c>
      <c r="H92" s="9">
        <f t="shared" si="57"/>
        <v>72.724358974358978</v>
      </c>
      <c r="I92" s="144" t="s">
        <v>502</v>
      </c>
      <c r="J92" s="267"/>
      <c r="K92" s="149">
        <f>K12+K13</f>
        <v>515</v>
      </c>
      <c r="L92" s="149">
        <f>L12+L13</f>
        <v>742</v>
      </c>
      <c r="M92" s="147">
        <f t="shared" si="36"/>
        <v>1257</v>
      </c>
      <c r="N92" s="147">
        <f t="shared" si="37"/>
        <v>3281</v>
      </c>
      <c r="O92" s="234">
        <f>O12+O13</f>
        <v>961</v>
      </c>
      <c r="P92" s="234">
        <f>P12+P13</f>
        <v>1429</v>
      </c>
      <c r="Q92" s="234">
        <f t="shared" ref="Q92:Q96" si="59">SUM(O92:P92)</f>
        <v>2390</v>
      </c>
      <c r="U92" s="1">
        <f>U12+U13</f>
        <v>1417</v>
      </c>
      <c r="V92" s="1">
        <f>V12+V13</f>
        <v>2027</v>
      </c>
      <c r="W92" s="79">
        <f t="shared" si="52"/>
        <v>3444</v>
      </c>
      <c r="X92" s="79">
        <f t="shared" si="53"/>
        <v>1094</v>
      </c>
      <c r="Y92" s="154">
        <f>Y12+Y13</f>
        <v>1803</v>
      </c>
      <c r="Z92" s="154">
        <f t="shared" ref="Z92:AA92" si="60">Z12+Z13</f>
        <v>2735</v>
      </c>
      <c r="AA92" s="154">
        <f t="shared" si="60"/>
        <v>4538</v>
      </c>
    </row>
    <row r="93" spans="1:27" ht="30.75" customHeight="1" x14ac:dyDescent="0.3">
      <c r="A93" s="5" t="s">
        <v>85</v>
      </c>
      <c r="B93" s="95">
        <v>1510</v>
      </c>
      <c r="C93" s="9">
        <v>7511</v>
      </c>
      <c r="D93" s="7">
        <f>F93</f>
        <v>8408</v>
      </c>
      <c r="E93" s="7">
        <f>E14+E30</f>
        <v>8400</v>
      </c>
      <c r="F93" s="240">
        <f>F14+F30+57</f>
        <v>8408</v>
      </c>
      <c r="G93" s="7">
        <f t="shared" si="56"/>
        <v>8</v>
      </c>
      <c r="H93" s="9">
        <f t="shared" si="57"/>
        <v>100.0952380952381</v>
      </c>
      <c r="I93" s="144" t="s">
        <v>503</v>
      </c>
      <c r="J93" s="267"/>
      <c r="K93" s="149">
        <f>K14+K30</f>
        <v>740</v>
      </c>
      <c r="L93" s="149">
        <f>L14+L30+7</f>
        <v>1349</v>
      </c>
      <c r="M93" s="147">
        <f t="shared" si="36"/>
        <v>2089</v>
      </c>
      <c r="N93" s="147">
        <f t="shared" si="37"/>
        <v>6319</v>
      </c>
      <c r="O93" s="149">
        <f>O14+O30</f>
        <v>1498</v>
      </c>
      <c r="P93" s="149">
        <f>P14+P30+7</f>
        <v>2681</v>
      </c>
      <c r="Q93" s="234">
        <f t="shared" si="59"/>
        <v>4179</v>
      </c>
      <c r="U93" s="1">
        <f>U14+U30</f>
        <v>2230</v>
      </c>
      <c r="V93" s="1">
        <f>V14+V30+15</f>
        <v>4070</v>
      </c>
      <c r="W93" s="79">
        <f t="shared" si="52"/>
        <v>6300</v>
      </c>
      <c r="X93" s="79">
        <f t="shared" si="53"/>
        <v>2108</v>
      </c>
      <c r="Y93" s="154">
        <f>Y14+Y30+5</f>
        <v>2947.7276999999999</v>
      </c>
      <c r="Z93" s="154">
        <f>Z14+Z30+52</f>
        <v>5460</v>
      </c>
      <c r="AA93" s="154">
        <f>SUM(Y93:Z93)</f>
        <v>8407.7276999999995</v>
      </c>
    </row>
    <row r="94" spans="1:27" ht="28.5" customHeight="1" x14ac:dyDescent="0.3">
      <c r="A94" s="5" t="s">
        <v>86</v>
      </c>
      <c r="B94" s="95">
        <v>1520</v>
      </c>
      <c r="C94" s="9">
        <v>1599</v>
      </c>
      <c r="D94" s="7">
        <f>F94</f>
        <v>1823</v>
      </c>
      <c r="E94" s="7">
        <f>E15+E31</f>
        <v>1848</v>
      </c>
      <c r="F94" s="240">
        <f>F15+F31+24</f>
        <v>1823</v>
      </c>
      <c r="G94" s="7">
        <f t="shared" si="56"/>
        <v>-25</v>
      </c>
      <c r="H94" s="9">
        <f t="shared" si="57"/>
        <v>98.647186147186147</v>
      </c>
      <c r="I94" s="144" t="s">
        <v>504</v>
      </c>
      <c r="J94" s="267"/>
      <c r="K94" s="149">
        <f>K15+K31</f>
        <v>155</v>
      </c>
      <c r="L94" s="149">
        <f>L15+L31+2</f>
        <v>294</v>
      </c>
      <c r="M94" s="147">
        <f t="shared" si="36"/>
        <v>449</v>
      </c>
      <c r="N94" s="147">
        <f t="shared" si="37"/>
        <v>1374</v>
      </c>
      <c r="O94" s="149">
        <f>O15+O31</f>
        <v>315</v>
      </c>
      <c r="P94" s="234">
        <f>P15+P31+2</f>
        <v>582</v>
      </c>
      <c r="Q94" s="234">
        <f t="shared" si="59"/>
        <v>897</v>
      </c>
      <c r="U94" s="1">
        <f>U15+U31</f>
        <v>471</v>
      </c>
      <c r="V94" s="1">
        <f>V15+V31+7</f>
        <v>889</v>
      </c>
      <c r="W94" s="79">
        <f t="shared" si="52"/>
        <v>1360</v>
      </c>
      <c r="X94" s="79">
        <f t="shared" si="53"/>
        <v>463</v>
      </c>
      <c r="Y94" s="154">
        <f>Y15+Y31+1</f>
        <v>621.70209999999997</v>
      </c>
      <c r="Z94" s="154">
        <f>Z15+Z31+23</f>
        <v>1201</v>
      </c>
      <c r="AA94" s="154">
        <f>SUM(Y94:Z94)</f>
        <v>1822.7021</v>
      </c>
    </row>
    <row r="95" spans="1:27" ht="29.25" customHeight="1" x14ac:dyDescent="0.3">
      <c r="A95" s="5" t="s">
        <v>87</v>
      </c>
      <c r="B95" s="95">
        <v>1530</v>
      </c>
      <c r="C95" s="9">
        <v>655</v>
      </c>
      <c r="D95" s="7">
        <f t="shared" si="55"/>
        <v>678</v>
      </c>
      <c r="E95" s="7">
        <f>E17+E32</f>
        <v>1032</v>
      </c>
      <c r="F95" s="240">
        <f>F17+F32</f>
        <v>678</v>
      </c>
      <c r="G95" s="7">
        <f t="shared" si="56"/>
        <v>-354</v>
      </c>
      <c r="H95" s="9">
        <f t="shared" si="57"/>
        <v>65.697674418604649</v>
      </c>
      <c r="I95" s="144" t="s">
        <v>505</v>
      </c>
      <c r="J95" s="267"/>
      <c r="K95" s="149">
        <f>K17+K32</f>
        <v>165</v>
      </c>
      <c r="L95" s="149">
        <f>L17+L32</f>
        <v>5</v>
      </c>
      <c r="M95" s="147">
        <f t="shared" si="36"/>
        <v>170</v>
      </c>
      <c r="N95" s="147">
        <f t="shared" si="37"/>
        <v>508</v>
      </c>
      <c r="O95" s="234">
        <f>O17+O32</f>
        <v>329</v>
      </c>
      <c r="P95" s="234">
        <f>P17+P32</f>
        <v>17</v>
      </c>
      <c r="Q95" s="234">
        <f t="shared" si="59"/>
        <v>346</v>
      </c>
      <c r="U95" s="1">
        <f>U17+U32</f>
        <v>491</v>
      </c>
      <c r="V95" s="1">
        <f>V17+V32</f>
        <v>20</v>
      </c>
      <c r="W95" s="79">
        <f t="shared" si="52"/>
        <v>511</v>
      </c>
      <c r="X95" s="79">
        <f t="shared" si="53"/>
        <v>167</v>
      </c>
      <c r="Y95" s="154">
        <f>Y17+Y32</f>
        <v>653.4819</v>
      </c>
      <c r="Z95" s="154">
        <f t="shared" ref="Z95:AA95" si="61">Z17+Z32</f>
        <v>25</v>
      </c>
      <c r="AA95" s="154">
        <f t="shared" si="61"/>
        <v>678.4819</v>
      </c>
    </row>
    <row r="96" spans="1:27" ht="24.75" customHeight="1" x14ac:dyDescent="0.3">
      <c r="A96" s="5" t="s">
        <v>88</v>
      </c>
      <c r="B96" s="95">
        <v>1540</v>
      </c>
      <c r="C96" s="9">
        <v>11399</v>
      </c>
      <c r="D96" s="7">
        <f t="shared" si="55"/>
        <v>15241</v>
      </c>
      <c r="E96" s="7">
        <f>E18+E28+E29+E34+E36+E37+E38+E40+E41+E42+E44+E51+E57+E64+E67</f>
        <v>6268</v>
      </c>
      <c r="F96" s="240">
        <f>F16+F18+F28+F29+F36+F37+F38+F39+F41+F44+F51+F57+F64+F67-81</f>
        <v>15241</v>
      </c>
      <c r="G96" s="7">
        <f t="shared" si="56"/>
        <v>8973</v>
      </c>
      <c r="H96" s="9">
        <f t="shared" si="57"/>
        <v>243.15571155073391</v>
      </c>
      <c r="I96" s="144" t="s">
        <v>514</v>
      </c>
      <c r="J96" s="267"/>
      <c r="K96" s="149">
        <f>K16+K18+K28+K29+K36+K37++K38+K39+K41+K44+K51+K57+K64+K67</f>
        <v>1533.2270800000001</v>
      </c>
      <c r="L96" s="149">
        <f>L16+L18+L28+L29+L36+L37++L38+L39+L41+L44+L51+L57+L64+L67-9</f>
        <v>1728</v>
      </c>
      <c r="M96" s="147">
        <f t="shared" si="36"/>
        <v>3261.2270800000001</v>
      </c>
      <c r="N96" s="147">
        <f t="shared" si="37"/>
        <v>11979.772919999999</v>
      </c>
      <c r="O96" s="149">
        <f>O16+O18+O28+O29+O36+O37++O38+O39+O41+O44+O51+O57+O64+O67</f>
        <v>3525</v>
      </c>
      <c r="P96" s="234">
        <f>P16+P18+P28+P29+P36+P37++P38+P39+P41+P44+P51+P57+P64+P67-9</f>
        <v>3402</v>
      </c>
      <c r="Q96" s="234">
        <f t="shared" si="59"/>
        <v>6927</v>
      </c>
      <c r="U96" s="1">
        <f>U16+U18+U28+U29+U36+U37++U38+U39+U41+U44+U51+U57+U64+U67</f>
        <v>5398</v>
      </c>
      <c r="V96" s="1">
        <f>V16+V18+V28+V29+V36+V37++V38+V39+V41+V44+V51+V57+V64+V67-22</f>
        <v>5506</v>
      </c>
      <c r="W96" s="79">
        <f t="shared" si="52"/>
        <v>10904</v>
      </c>
      <c r="X96" s="79">
        <f t="shared" si="53"/>
        <v>4337</v>
      </c>
      <c r="Y96" s="154">
        <f>Y16+Y18+Y28+Y29+Y36+Y37++Y38+Y39+Y41+Y44+Y51+Y57+Y64+Y67-6</f>
        <v>7403.8079000000016</v>
      </c>
      <c r="Z96" s="154">
        <f>Z16+Z18+Z28+Z29+Z36+Z37++Z38+Z39+Z41+Z44+Z51+Z57+Z64+Z67-75</f>
        <v>7858</v>
      </c>
      <c r="AA96" s="154">
        <f>SUM(Y96:Z96)</f>
        <v>15261.807900000002</v>
      </c>
    </row>
    <row r="97" spans="1:27" s="78" customFormat="1" ht="30.75" customHeight="1" x14ac:dyDescent="0.25">
      <c r="A97" s="241" t="s">
        <v>89</v>
      </c>
      <c r="B97" s="92">
        <v>1550</v>
      </c>
      <c r="C97" s="9">
        <f>C90+C93+C94+C95+C96</f>
        <v>26665</v>
      </c>
      <c r="D97" s="9">
        <f>F97</f>
        <v>31635</v>
      </c>
      <c r="E97" s="9">
        <f>E90+E93+E94+E95+E96</f>
        <v>28748</v>
      </c>
      <c r="F97" s="9">
        <f>F90+F93+F94+F95+F96</f>
        <v>31635</v>
      </c>
      <c r="G97" s="7">
        <f t="shared" si="56"/>
        <v>2887</v>
      </c>
      <c r="H97" s="9">
        <f t="shared" si="57"/>
        <v>110.04243773479894</v>
      </c>
      <c r="I97" s="144" t="s">
        <v>471</v>
      </c>
      <c r="J97" s="267"/>
      <c r="K97" s="147">
        <f>K90+K93+K94+K95+K96</f>
        <v>3221.2270800000001</v>
      </c>
      <c r="L97" s="147">
        <f>L90+L93+L94+L95+L96</f>
        <v>4290</v>
      </c>
      <c r="M97" s="147">
        <f t="shared" si="36"/>
        <v>7511.2270800000006</v>
      </c>
      <c r="N97" s="147"/>
      <c r="O97" s="147">
        <f>O90+O93+O94+O95+O96</f>
        <v>6801</v>
      </c>
      <c r="P97" s="233">
        <f>P90+P93+P94+P95+P96</f>
        <v>8419</v>
      </c>
      <c r="Q97" s="234">
        <f>SUM(O97:P97)</f>
        <v>15220</v>
      </c>
      <c r="R97" s="233"/>
      <c r="U97" s="78">
        <f>U90+U93+U94+U95+U96</f>
        <v>10189</v>
      </c>
      <c r="V97" s="78">
        <f>V90+V93+V94+V95+V96</f>
        <v>12974</v>
      </c>
      <c r="W97" s="79">
        <f t="shared" si="52"/>
        <v>23163</v>
      </c>
      <c r="X97" s="79">
        <f t="shared" si="53"/>
        <v>8472</v>
      </c>
      <c r="Y97" s="188">
        <f>Y90+Y93+Y94+Y95+Y96</f>
        <v>13751.5887</v>
      </c>
      <c r="Z97" s="188">
        <f>Z90+Z93+Z94+Z95+Z96</f>
        <v>17884</v>
      </c>
      <c r="AA97" s="188">
        <f>SUM(Y97:Z97)</f>
        <v>31635.5887</v>
      </c>
    </row>
    <row r="98" spans="1:27" s="78" customFormat="1" x14ac:dyDescent="0.3">
      <c r="A98" s="13"/>
      <c r="B98" s="96"/>
      <c r="C98" s="57"/>
      <c r="D98" s="57"/>
      <c r="E98" s="57"/>
      <c r="F98" s="57"/>
      <c r="G98" s="178"/>
      <c r="H98" s="57"/>
      <c r="I98" s="57"/>
      <c r="J98" s="267"/>
      <c r="K98" s="147"/>
      <c r="L98" s="147"/>
      <c r="M98" s="147">
        <f t="shared" ref="M98" si="62">SUM(K98:L98)</f>
        <v>0</v>
      </c>
      <c r="N98" s="147"/>
      <c r="O98" s="233"/>
      <c r="P98" s="233"/>
      <c r="Q98" s="233"/>
      <c r="R98" s="233"/>
      <c r="Y98" s="188">
        <f>Y90+Y93+Y94+Y95+Y96</f>
        <v>13751.5887</v>
      </c>
      <c r="Z98" s="188">
        <f>Z90+Z93+Z94+Z95+Z96</f>
        <v>17884</v>
      </c>
      <c r="AA98" s="188">
        <f>AA90+AA93+AA94+AA95+AA96</f>
        <v>31635.5887</v>
      </c>
    </row>
    <row r="99" spans="1:27" s="78" customFormat="1" x14ac:dyDescent="0.3">
      <c r="A99" s="13"/>
      <c r="B99" s="96"/>
      <c r="C99" s="57"/>
      <c r="D99" s="57"/>
      <c r="E99" s="57"/>
      <c r="F99" s="57"/>
      <c r="G99" s="178"/>
      <c r="H99" s="57"/>
      <c r="I99" s="57"/>
      <c r="J99" s="267"/>
      <c r="K99" s="147"/>
      <c r="L99" s="147"/>
      <c r="M99" s="147"/>
      <c r="N99" s="147"/>
      <c r="O99" s="233"/>
      <c r="P99" s="233"/>
      <c r="Q99" s="233"/>
      <c r="R99" s="233"/>
    </row>
    <row r="100" spans="1:27" x14ac:dyDescent="0.25">
      <c r="A100" s="14"/>
      <c r="J100" s="267"/>
      <c r="K100" s="149" t="s">
        <v>468</v>
      </c>
      <c r="L100" s="149">
        <f>6517.52</f>
        <v>6517.52</v>
      </c>
      <c r="M100" s="147"/>
      <c r="N100" s="149"/>
    </row>
    <row r="101" spans="1:27" ht="27.75" customHeight="1" x14ac:dyDescent="0.25">
      <c r="A101" s="13" t="s">
        <v>90</v>
      </c>
      <c r="B101" s="15"/>
      <c r="C101" s="273" t="s">
        <v>91</v>
      </c>
      <c r="D101" s="273"/>
      <c r="E101" s="143"/>
      <c r="F101" s="274" t="s">
        <v>317</v>
      </c>
      <c r="G101" s="274"/>
      <c r="H101" s="274"/>
      <c r="I101" s="67"/>
      <c r="J101" s="267"/>
      <c r="K101" s="149" t="s">
        <v>469</v>
      </c>
      <c r="L101" s="149">
        <v>1922</v>
      </c>
      <c r="M101" s="147"/>
      <c r="N101" s="149"/>
    </row>
    <row r="102" spans="1:27" s="79" customFormat="1" x14ac:dyDescent="0.25">
      <c r="A102" s="237" t="s">
        <v>92</v>
      </c>
      <c r="B102" s="1"/>
      <c r="C102" s="275" t="s">
        <v>93</v>
      </c>
      <c r="D102" s="275"/>
      <c r="E102" s="67"/>
      <c r="F102" s="276" t="s">
        <v>94</v>
      </c>
      <c r="G102" s="276"/>
      <c r="H102" s="276"/>
      <c r="I102" s="68"/>
      <c r="J102" s="267"/>
      <c r="K102" s="150"/>
      <c r="L102" s="150">
        <f>SUM(L100:L101)</f>
        <v>8439.52</v>
      </c>
      <c r="M102" s="147"/>
      <c r="N102" s="150"/>
      <c r="O102" s="244"/>
      <c r="P102" s="244"/>
      <c r="Q102" s="244"/>
      <c r="R102" s="244"/>
    </row>
    <row r="103" spans="1:27" x14ac:dyDescent="0.25">
      <c r="A103" s="14"/>
      <c r="K103" s="149"/>
      <c r="L103" s="149"/>
      <c r="M103" s="147"/>
      <c r="N103" s="149"/>
    </row>
    <row r="104" spans="1:27" x14ac:dyDescent="0.25">
      <c r="A104" s="14"/>
      <c r="K104" s="149"/>
      <c r="L104" s="149"/>
      <c r="M104" s="147"/>
      <c r="N104" s="149"/>
    </row>
    <row r="105" spans="1:27" x14ac:dyDescent="0.25">
      <c r="A105" s="14"/>
      <c r="K105" s="149"/>
      <c r="L105" s="149"/>
      <c r="M105" s="147"/>
      <c r="N105" s="149"/>
    </row>
    <row r="106" spans="1:27" x14ac:dyDescent="0.25">
      <c r="A106" s="14"/>
      <c r="K106" s="149"/>
      <c r="L106" s="149"/>
      <c r="M106" s="147"/>
      <c r="N106" s="149"/>
    </row>
    <row r="107" spans="1:27" x14ac:dyDescent="0.25">
      <c r="A107" s="14"/>
      <c r="K107" s="149"/>
      <c r="L107" s="149"/>
      <c r="M107" s="147"/>
      <c r="N107" s="149"/>
    </row>
    <row r="108" spans="1:27" x14ac:dyDescent="0.25">
      <c r="A108" s="14"/>
      <c r="K108" s="149"/>
      <c r="L108" s="149"/>
      <c r="M108" s="147"/>
      <c r="N108" s="149"/>
    </row>
    <row r="109" spans="1:27" x14ac:dyDescent="0.25">
      <c r="A109" s="14"/>
      <c r="K109" s="149"/>
      <c r="L109" s="149"/>
      <c r="M109" s="147"/>
      <c r="N109" s="149"/>
    </row>
    <row r="110" spans="1:27" x14ac:dyDescent="0.25">
      <c r="A110" s="14"/>
      <c r="K110" s="149"/>
      <c r="L110" s="149"/>
      <c r="M110" s="147"/>
      <c r="N110" s="149"/>
    </row>
    <row r="111" spans="1:27" x14ac:dyDescent="0.25">
      <c r="A111" s="14"/>
      <c r="K111" s="149"/>
      <c r="L111" s="149"/>
      <c r="M111" s="147"/>
      <c r="N111" s="149"/>
    </row>
    <row r="112" spans="1:27" x14ac:dyDescent="0.25">
      <c r="A112" s="14"/>
      <c r="K112" s="149"/>
      <c r="L112" s="149"/>
      <c r="M112" s="147"/>
      <c r="N112" s="149"/>
    </row>
    <row r="113" spans="1:14" x14ac:dyDescent="0.25">
      <c r="A113" s="14"/>
      <c r="K113" s="149"/>
      <c r="L113" s="149"/>
      <c r="M113" s="147"/>
      <c r="N113" s="149"/>
    </row>
    <row r="114" spans="1:14" x14ac:dyDescent="0.25">
      <c r="A114" s="14"/>
      <c r="K114" s="149"/>
      <c r="L114" s="149"/>
      <c r="M114" s="147"/>
      <c r="N114" s="149"/>
    </row>
    <row r="115" spans="1:14" x14ac:dyDescent="0.25">
      <c r="A115" s="14"/>
      <c r="K115" s="149"/>
      <c r="L115" s="149"/>
      <c r="M115" s="147"/>
      <c r="N115" s="149"/>
    </row>
    <row r="116" spans="1:14" x14ac:dyDescent="0.25">
      <c r="A116" s="14"/>
      <c r="K116" s="149"/>
      <c r="L116" s="149"/>
      <c r="M116" s="147"/>
      <c r="N116" s="149"/>
    </row>
    <row r="117" spans="1:14" x14ac:dyDescent="0.25">
      <c r="A117" s="14"/>
      <c r="K117" s="149"/>
      <c r="L117" s="149"/>
      <c r="M117" s="147"/>
      <c r="N117" s="149"/>
    </row>
    <row r="118" spans="1:14" x14ac:dyDescent="0.25">
      <c r="A118" s="14"/>
      <c r="K118" s="149"/>
      <c r="L118" s="149"/>
      <c r="M118" s="147"/>
      <c r="N118" s="149"/>
    </row>
    <row r="119" spans="1:14" x14ac:dyDescent="0.25">
      <c r="A119" s="14"/>
      <c r="K119" s="149"/>
      <c r="L119" s="149"/>
      <c r="M119" s="147"/>
      <c r="N119" s="149"/>
    </row>
    <row r="120" spans="1:14" x14ac:dyDescent="0.25">
      <c r="A120" s="14"/>
      <c r="K120" s="149"/>
      <c r="L120" s="149"/>
      <c r="M120" s="147"/>
      <c r="N120" s="149"/>
    </row>
    <row r="121" spans="1:14" x14ac:dyDescent="0.25">
      <c r="A121" s="14"/>
      <c r="K121" s="149"/>
      <c r="L121" s="149"/>
      <c r="M121" s="147"/>
      <c r="N121" s="149"/>
    </row>
    <row r="122" spans="1:14" x14ac:dyDescent="0.25">
      <c r="A122" s="14"/>
      <c r="K122" s="149"/>
      <c r="L122" s="149"/>
      <c r="M122" s="147"/>
      <c r="N122" s="149"/>
    </row>
    <row r="123" spans="1:14" x14ac:dyDescent="0.25">
      <c r="A123" s="14"/>
      <c r="K123" s="149"/>
      <c r="L123" s="149"/>
      <c r="M123" s="147"/>
      <c r="N123" s="149"/>
    </row>
    <row r="124" spans="1:14" x14ac:dyDescent="0.25">
      <c r="A124" s="14"/>
      <c r="K124" s="149"/>
      <c r="L124" s="149"/>
      <c r="M124" s="147"/>
      <c r="N124" s="149"/>
    </row>
    <row r="125" spans="1:14" x14ac:dyDescent="0.25">
      <c r="A125" s="14"/>
      <c r="K125" s="149"/>
      <c r="L125" s="149"/>
      <c r="M125" s="147"/>
      <c r="N125" s="149"/>
    </row>
    <row r="126" spans="1:14" x14ac:dyDescent="0.25">
      <c r="A126" s="14"/>
      <c r="K126" s="149"/>
      <c r="L126" s="149"/>
      <c r="M126" s="147"/>
      <c r="N126" s="149"/>
    </row>
    <row r="127" spans="1:14" x14ac:dyDescent="0.25">
      <c r="A127" s="14"/>
      <c r="K127" s="149"/>
      <c r="L127" s="149"/>
      <c r="M127" s="147"/>
      <c r="N127" s="149"/>
    </row>
    <row r="128" spans="1:14" x14ac:dyDescent="0.25">
      <c r="A128" s="14"/>
      <c r="K128" s="149"/>
      <c r="L128" s="149"/>
      <c r="M128" s="147"/>
      <c r="N128" s="149"/>
    </row>
    <row r="129" spans="1:14" x14ac:dyDescent="0.25">
      <c r="A129" s="14"/>
      <c r="K129" s="149"/>
      <c r="L129" s="149"/>
      <c r="N129" s="149"/>
    </row>
    <row r="130" spans="1:14" x14ac:dyDescent="0.25">
      <c r="A130" s="14"/>
      <c r="K130" s="149"/>
      <c r="L130" s="149"/>
      <c r="N130" s="149"/>
    </row>
    <row r="131" spans="1:14" x14ac:dyDescent="0.25">
      <c r="A131" s="14"/>
      <c r="K131" s="149"/>
      <c r="L131" s="149"/>
      <c r="N131" s="149"/>
    </row>
    <row r="132" spans="1:14" x14ac:dyDescent="0.25">
      <c r="A132" s="14"/>
      <c r="K132" s="149"/>
      <c r="L132" s="149"/>
      <c r="N132" s="149"/>
    </row>
    <row r="133" spans="1:14" x14ac:dyDescent="0.25">
      <c r="A133" s="14"/>
      <c r="K133" s="149"/>
      <c r="L133" s="149"/>
      <c r="N133" s="149"/>
    </row>
    <row r="134" spans="1:14" x14ac:dyDescent="0.25">
      <c r="A134" s="14"/>
      <c r="K134" s="149"/>
      <c r="L134" s="149"/>
      <c r="N134" s="149"/>
    </row>
    <row r="135" spans="1:14" x14ac:dyDescent="0.25">
      <c r="A135" s="14"/>
      <c r="K135" s="149"/>
      <c r="L135" s="149"/>
      <c r="N135" s="149"/>
    </row>
    <row r="136" spans="1:14" x14ac:dyDescent="0.25">
      <c r="A136" s="14"/>
      <c r="K136" s="149"/>
      <c r="L136" s="149"/>
      <c r="N136" s="149"/>
    </row>
    <row r="137" spans="1:14" x14ac:dyDescent="0.25">
      <c r="A137" s="14"/>
      <c r="K137" s="149"/>
      <c r="L137" s="149"/>
      <c r="N137" s="149"/>
    </row>
    <row r="138" spans="1:14" x14ac:dyDescent="0.25">
      <c r="A138" s="14"/>
      <c r="K138" s="149"/>
      <c r="L138" s="149"/>
      <c r="N138" s="149"/>
    </row>
    <row r="139" spans="1:14" x14ac:dyDescent="0.25">
      <c r="A139" s="14"/>
    </row>
    <row r="140" spans="1:14" x14ac:dyDescent="0.25">
      <c r="A140" s="14"/>
    </row>
    <row r="141" spans="1:14" x14ac:dyDescent="0.25">
      <c r="A141" s="14"/>
    </row>
    <row r="142" spans="1:14" x14ac:dyDescent="0.25">
      <c r="A142" s="14"/>
    </row>
    <row r="143" spans="1:14" x14ac:dyDescent="0.25">
      <c r="A143" s="14"/>
    </row>
    <row r="144" spans="1:14"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sheetData>
  <mergeCells count="15">
    <mergeCell ref="A3:I3"/>
    <mergeCell ref="J3:J57"/>
    <mergeCell ref="A5:A6"/>
    <mergeCell ref="B5:B6"/>
    <mergeCell ref="C5:D5"/>
    <mergeCell ref="E5:I5"/>
    <mergeCell ref="A8:I8"/>
    <mergeCell ref="J60:J102"/>
    <mergeCell ref="A76:I76"/>
    <mergeCell ref="A82:I82"/>
    <mergeCell ref="A89:I89"/>
    <mergeCell ref="C101:D101"/>
    <mergeCell ref="F101:H101"/>
    <mergeCell ref="C102:D102"/>
    <mergeCell ref="F102:H102"/>
  </mergeCells>
  <pageMargins left="0.31496062992125984" right="0" top="0.15748031496062992" bottom="0" header="0.31496062992125984" footer="0.31496062992125984"/>
  <pageSetup paperSize="9" scale="5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7"/>
  <sheetViews>
    <sheetView topLeftCell="A3" zoomScale="96" zoomScaleNormal="96" workbookViewId="0">
      <selection activeCell="D8" sqref="D8:D18"/>
    </sheetView>
  </sheetViews>
  <sheetFormatPr defaultRowHeight="18.75" outlineLevelRow="1" x14ac:dyDescent="0.25"/>
  <cols>
    <col min="1" max="1" width="71.7109375" style="19" customWidth="1"/>
    <col min="2" max="2" width="13" style="20" customWidth="1"/>
    <col min="3" max="3" width="18" style="20" customWidth="1"/>
    <col min="4" max="5" width="16.5703125" style="20" customWidth="1"/>
    <col min="6" max="6" width="16.85546875" style="20" customWidth="1"/>
    <col min="7" max="8" width="15" style="20" customWidth="1"/>
    <col min="9" max="9" width="10" style="19" customWidth="1"/>
    <col min="10" max="10" width="9.5703125" style="19" customWidth="1"/>
    <col min="11" max="256" width="9.140625" style="19"/>
    <col min="257" max="257" width="86.85546875" style="19" customWidth="1"/>
    <col min="258" max="258" width="13" style="19" customWidth="1"/>
    <col min="259" max="263" width="18.7109375" style="19" customWidth="1"/>
    <col min="264" max="264" width="15" style="19" customWidth="1"/>
    <col min="265" max="265" width="10" style="19" customWidth="1"/>
    <col min="266" max="266" width="9.5703125" style="19" customWidth="1"/>
    <col min="267" max="512" width="9.140625" style="19"/>
    <col min="513" max="513" width="86.85546875" style="19" customWidth="1"/>
    <col min="514" max="514" width="13" style="19" customWidth="1"/>
    <col min="515" max="519" width="18.7109375" style="19" customWidth="1"/>
    <col min="520" max="520" width="15" style="19" customWidth="1"/>
    <col min="521" max="521" width="10" style="19" customWidth="1"/>
    <col min="522" max="522" width="9.5703125" style="19" customWidth="1"/>
    <col min="523" max="768" width="9.140625" style="19"/>
    <col min="769" max="769" width="86.85546875" style="19" customWidth="1"/>
    <col min="770" max="770" width="13" style="19" customWidth="1"/>
    <col min="771" max="775" width="18.7109375" style="19" customWidth="1"/>
    <col min="776" max="776" width="15" style="19" customWidth="1"/>
    <col min="777" max="777" width="10" style="19" customWidth="1"/>
    <col min="778" max="778" width="9.5703125" style="19" customWidth="1"/>
    <col min="779" max="1024" width="9.140625" style="19"/>
    <col min="1025" max="1025" width="86.85546875" style="19" customWidth="1"/>
    <col min="1026" max="1026" width="13" style="19" customWidth="1"/>
    <col min="1027" max="1031" width="18.7109375" style="19" customWidth="1"/>
    <col min="1032" max="1032" width="15" style="19" customWidth="1"/>
    <col min="1033" max="1033" width="10" style="19" customWidth="1"/>
    <col min="1034" max="1034" width="9.5703125" style="19" customWidth="1"/>
    <col min="1035" max="1280" width="9.140625" style="19"/>
    <col min="1281" max="1281" width="86.85546875" style="19" customWidth="1"/>
    <col min="1282" max="1282" width="13" style="19" customWidth="1"/>
    <col min="1283" max="1287" width="18.7109375" style="19" customWidth="1"/>
    <col min="1288" max="1288" width="15" style="19" customWidth="1"/>
    <col min="1289" max="1289" width="10" style="19" customWidth="1"/>
    <col min="1290" max="1290" width="9.5703125" style="19" customWidth="1"/>
    <col min="1291" max="1536" width="9.140625" style="19"/>
    <col min="1537" max="1537" width="86.85546875" style="19" customWidth="1"/>
    <col min="1538" max="1538" width="13" style="19" customWidth="1"/>
    <col min="1539" max="1543" width="18.7109375" style="19" customWidth="1"/>
    <col min="1544" max="1544" width="15" style="19" customWidth="1"/>
    <col min="1545" max="1545" width="10" style="19" customWidth="1"/>
    <col min="1546" max="1546" width="9.5703125" style="19" customWidth="1"/>
    <col min="1547" max="1792" width="9.140625" style="19"/>
    <col min="1793" max="1793" width="86.85546875" style="19" customWidth="1"/>
    <col min="1794" max="1794" width="13" style="19" customWidth="1"/>
    <col min="1795" max="1799" width="18.7109375" style="19" customWidth="1"/>
    <col min="1800" max="1800" width="15" style="19" customWidth="1"/>
    <col min="1801" max="1801" width="10" style="19" customWidth="1"/>
    <col min="1802" max="1802" width="9.5703125" style="19" customWidth="1"/>
    <col min="1803" max="2048" width="9.140625" style="19"/>
    <col min="2049" max="2049" width="86.85546875" style="19" customWidth="1"/>
    <col min="2050" max="2050" width="13" style="19" customWidth="1"/>
    <col min="2051" max="2055" width="18.7109375" style="19" customWidth="1"/>
    <col min="2056" max="2056" width="15" style="19" customWidth="1"/>
    <col min="2057" max="2057" width="10" style="19" customWidth="1"/>
    <col min="2058" max="2058" width="9.5703125" style="19" customWidth="1"/>
    <col min="2059" max="2304" width="9.140625" style="19"/>
    <col min="2305" max="2305" width="86.85546875" style="19" customWidth="1"/>
    <col min="2306" max="2306" width="13" style="19" customWidth="1"/>
    <col min="2307" max="2311" width="18.7109375" style="19" customWidth="1"/>
    <col min="2312" max="2312" width="15" style="19" customWidth="1"/>
    <col min="2313" max="2313" width="10" style="19" customWidth="1"/>
    <col min="2314" max="2314" width="9.5703125" style="19" customWidth="1"/>
    <col min="2315" max="2560" width="9.140625" style="19"/>
    <col min="2561" max="2561" width="86.85546875" style="19" customWidth="1"/>
    <col min="2562" max="2562" width="13" style="19" customWidth="1"/>
    <col min="2563" max="2567" width="18.7109375" style="19" customWidth="1"/>
    <col min="2568" max="2568" width="15" style="19" customWidth="1"/>
    <col min="2569" max="2569" width="10" style="19" customWidth="1"/>
    <col min="2570" max="2570" width="9.5703125" style="19" customWidth="1"/>
    <col min="2571" max="2816" width="9.140625" style="19"/>
    <col min="2817" max="2817" width="86.85546875" style="19" customWidth="1"/>
    <col min="2818" max="2818" width="13" style="19" customWidth="1"/>
    <col min="2819" max="2823" width="18.7109375" style="19" customWidth="1"/>
    <col min="2824" max="2824" width="15" style="19" customWidth="1"/>
    <col min="2825" max="2825" width="10" style="19" customWidth="1"/>
    <col min="2826" max="2826" width="9.5703125" style="19" customWidth="1"/>
    <col min="2827" max="3072" width="9.140625" style="19"/>
    <col min="3073" max="3073" width="86.85546875" style="19" customWidth="1"/>
    <col min="3074" max="3074" width="13" style="19" customWidth="1"/>
    <col min="3075" max="3079" width="18.7109375" style="19" customWidth="1"/>
    <col min="3080" max="3080" width="15" style="19" customWidth="1"/>
    <col min="3081" max="3081" width="10" style="19" customWidth="1"/>
    <col min="3082" max="3082" width="9.5703125" style="19" customWidth="1"/>
    <col min="3083" max="3328" width="9.140625" style="19"/>
    <col min="3329" max="3329" width="86.85546875" style="19" customWidth="1"/>
    <col min="3330" max="3330" width="13" style="19" customWidth="1"/>
    <col min="3331" max="3335" width="18.7109375" style="19" customWidth="1"/>
    <col min="3336" max="3336" width="15" style="19" customWidth="1"/>
    <col min="3337" max="3337" width="10" style="19" customWidth="1"/>
    <col min="3338" max="3338" width="9.5703125" style="19" customWidth="1"/>
    <col min="3339" max="3584" width="9.140625" style="19"/>
    <col min="3585" max="3585" width="86.85546875" style="19" customWidth="1"/>
    <col min="3586" max="3586" width="13" style="19" customWidth="1"/>
    <col min="3587" max="3591" width="18.7109375" style="19" customWidth="1"/>
    <col min="3592" max="3592" width="15" style="19" customWidth="1"/>
    <col min="3593" max="3593" width="10" style="19" customWidth="1"/>
    <col min="3594" max="3594" width="9.5703125" style="19" customWidth="1"/>
    <col min="3595" max="3840" width="9.140625" style="19"/>
    <col min="3841" max="3841" width="86.85546875" style="19" customWidth="1"/>
    <col min="3842" max="3842" width="13" style="19" customWidth="1"/>
    <col min="3843" max="3847" width="18.7109375" style="19" customWidth="1"/>
    <col min="3848" max="3848" width="15" style="19" customWidth="1"/>
    <col min="3849" max="3849" width="10" style="19" customWidth="1"/>
    <col min="3850" max="3850" width="9.5703125" style="19" customWidth="1"/>
    <col min="3851" max="4096" width="9.140625" style="19"/>
    <col min="4097" max="4097" width="86.85546875" style="19" customWidth="1"/>
    <col min="4098" max="4098" width="13" style="19" customWidth="1"/>
    <col min="4099" max="4103" width="18.7109375" style="19" customWidth="1"/>
    <col min="4104" max="4104" width="15" style="19" customWidth="1"/>
    <col min="4105" max="4105" width="10" style="19" customWidth="1"/>
    <col min="4106" max="4106" width="9.5703125" style="19" customWidth="1"/>
    <col min="4107" max="4352" width="9.140625" style="19"/>
    <col min="4353" max="4353" width="86.85546875" style="19" customWidth="1"/>
    <col min="4354" max="4354" width="13" style="19" customWidth="1"/>
    <col min="4355" max="4359" width="18.7109375" style="19" customWidth="1"/>
    <col min="4360" max="4360" width="15" style="19" customWidth="1"/>
    <col min="4361" max="4361" width="10" style="19" customWidth="1"/>
    <col min="4362" max="4362" width="9.5703125" style="19" customWidth="1"/>
    <col min="4363" max="4608" width="9.140625" style="19"/>
    <col min="4609" max="4609" width="86.85546875" style="19" customWidth="1"/>
    <col min="4610" max="4610" width="13" style="19" customWidth="1"/>
    <col min="4611" max="4615" width="18.7109375" style="19" customWidth="1"/>
    <col min="4616" max="4616" width="15" style="19" customWidth="1"/>
    <col min="4617" max="4617" width="10" style="19" customWidth="1"/>
    <col min="4618" max="4618" width="9.5703125" style="19" customWidth="1"/>
    <col min="4619" max="4864" width="9.140625" style="19"/>
    <col min="4865" max="4865" width="86.85546875" style="19" customWidth="1"/>
    <col min="4866" max="4866" width="13" style="19" customWidth="1"/>
    <col min="4867" max="4871" width="18.7109375" style="19" customWidth="1"/>
    <col min="4872" max="4872" width="15" style="19" customWidth="1"/>
    <col min="4873" max="4873" width="10" style="19" customWidth="1"/>
    <col min="4874" max="4874" width="9.5703125" style="19" customWidth="1"/>
    <col min="4875" max="5120" width="9.140625" style="19"/>
    <col min="5121" max="5121" width="86.85546875" style="19" customWidth="1"/>
    <col min="5122" max="5122" width="13" style="19" customWidth="1"/>
    <col min="5123" max="5127" width="18.7109375" style="19" customWidth="1"/>
    <col min="5128" max="5128" width="15" style="19" customWidth="1"/>
    <col min="5129" max="5129" width="10" style="19" customWidth="1"/>
    <col min="5130" max="5130" width="9.5703125" style="19" customWidth="1"/>
    <col min="5131" max="5376" width="9.140625" style="19"/>
    <col min="5377" max="5377" width="86.85546875" style="19" customWidth="1"/>
    <col min="5378" max="5378" width="13" style="19" customWidth="1"/>
    <col min="5379" max="5383" width="18.7109375" style="19" customWidth="1"/>
    <col min="5384" max="5384" width="15" style="19" customWidth="1"/>
    <col min="5385" max="5385" width="10" style="19" customWidth="1"/>
    <col min="5386" max="5386" width="9.5703125" style="19" customWidth="1"/>
    <col min="5387" max="5632" width="9.140625" style="19"/>
    <col min="5633" max="5633" width="86.85546875" style="19" customWidth="1"/>
    <col min="5634" max="5634" width="13" style="19" customWidth="1"/>
    <col min="5635" max="5639" width="18.7109375" style="19" customWidth="1"/>
    <col min="5640" max="5640" width="15" style="19" customWidth="1"/>
    <col min="5641" max="5641" width="10" style="19" customWidth="1"/>
    <col min="5642" max="5642" width="9.5703125" style="19" customWidth="1"/>
    <col min="5643" max="5888" width="9.140625" style="19"/>
    <col min="5889" max="5889" width="86.85546875" style="19" customWidth="1"/>
    <col min="5890" max="5890" width="13" style="19" customWidth="1"/>
    <col min="5891" max="5895" width="18.7109375" style="19" customWidth="1"/>
    <col min="5896" max="5896" width="15" style="19" customWidth="1"/>
    <col min="5897" max="5897" width="10" style="19" customWidth="1"/>
    <col min="5898" max="5898" width="9.5703125" style="19" customWidth="1"/>
    <col min="5899" max="6144" width="9.140625" style="19"/>
    <col min="6145" max="6145" width="86.85546875" style="19" customWidth="1"/>
    <col min="6146" max="6146" width="13" style="19" customWidth="1"/>
    <col min="6147" max="6151" width="18.7109375" style="19" customWidth="1"/>
    <col min="6152" max="6152" width="15" style="19" customWidth="1"/>
    <col min="6153" max="6153" width="10" style="19" customWidth="1"/>
    <col min="6154" max="6154" width="9.5703125" style="19" customWidth="1"/>
    <col min="6155" max="6400" width="9.140625" style="19"/>
    <col min="6401" max="6401" width="86.85546875" style="19" customWidth="1"/>
    <col min="6402" max="6402" width="13" style="19" customWidth="1"/>
    <col min="6403" max="6407" width="18.7109375" style="19" customWidth="1"/>
    <col min="6408" max="6408" width="15" style="19" customWidth="1"/>
    <col min="6409" max="6409" width="10" style="19" customWidth="1"/>
    <col min="6410" max="6410" width="9.5703125" style="19" customWidth="1"/>
    <col min="6411" max="6656" width="9.140625" style="19"/>
    <col min="6657" max="6657" width="86.85546875" style="19" customWidth="1"/>
    <col min="6658" max="6658" width="13" style="19" customWidth="1"/>
    <col min="6659" max="6663" width="18.7109375" style="19" customWidth="1"/>
    <col min="6664" max="6664" width="15" style="19" customWidth="1"/>
    <col min="6665" max="6665" width="10" style="19" customWidth="1"/>
    <col min="6666" max="6666" width="9.5703125" style="19" customWidth="1"/>
    <col min="6667" max="6912" width="9.140625" style="19"/>
    <col min="6913" max="6913" width="86.85546875" style="19" customWidth="1"/>
    <col min="6914" max="6914" width="13" style="19" customWidth="1"/>
    <col min="6915" max="6919" width="18.7109375" style="19" customWidth="1"/>
    <col min="6920" max="6920" width="15" style="19" customWidth="1"/>
    <col min="6921" max="6921" width="10" style="19" customWidth="1"/>
    <col min="6922" max="6922" width="9.5703125" style="19" customWidth="1"/>
    <col min="6923" max="7168" width="9.140625" style="19"/>
    <col min="7169" max="7169" width="86.85546875" style="19" customWidth="1"/>
    <col min="7170" max="7170" width="13" style="19" customWidth="1"/>
    <col min="7171" max="7175" width="18.7109375" style="19" customWidth="1"/>
    <col min="7176" max="7176" width="15" style="19" customWidth="1"/>
    <col min="7177" max="7177" width="10" style="19" customWidth="1"/>
    <col min="7178" max="7178" width="9.5703125" style="19" customWidth="1"/>
    <col min="7179" max="7424" width="9.140625" style="19"/>
    <col min="7425" max="7425" width="86.85546875" style="19" customWidth="1"/>
    <col min="7426" max="7426" width="13" style="19" customWidth="1"/>
    <col min="7427" max="7431" width="18.7109375" style="19" customWidth="1"/>
    <col min="7432" max="7432" width="15" style="19" customWidth="1"/>
    <col min="7433" max="7433" width="10" style="19" customWidth="1"/>
    <col min="7434" max="7434" width="9.5703125" style="19" customWidth="1"/>
    <col min="7435" max="7680" width="9.140625" style="19"/>
    <col min="7681" max="7681" width="86.85546875" style="19" customWidth="1"/>
    <col min="7682" max="7682" width="13" style="19" customWidth="1"/>
    <col min="7683" max="7687" width="18.7109375" style="19" customWidth="1"/>
    <col min="7688" max="7688" width="15" style="19" customWidth="1"/>
    <col min="7689" max="7689" width="10" style="19" customWidth="1"/>
    <col min="7690" max="7690" width="9.5703125" style="19" customWidth="1"/>
    <col min="7691" max="7936" width="9.140625" style="19"/>
    <col min="7937" max="7937" width="86.85546875" style="19" customWidth="1"/>
    <col min="7938" max="7938" width="13" style="19" customWidth="1"/>
    <col min="7939" max="7943" width="18.7109375" style="19" customWidth="1"/>
    <col min="7944" max="7944" width="15" style="19" customWidth="1"/>
    <col min="7945" max="7945" width="10" style="19" customWidth="1"/>
    <col min="7946" max="7946" width="9.5703125" style="19" customWidth="1"/>
    <col min="7947" max="8192" width="9.140625" style="19"/>
    <col min="8193" max="8193" width="86.85546875" style="19" customWidth="1"/>
    <col min="8194" max="8194" width="13" style="19" customWidth="1"/>
    <col min="8195" max="8199" width="18.7109375" style="19" customWidth="1"/>
    <col min="8200" max="8200" width="15" style="19" customWidth="1"/>
    <col min="8201" max="8201" width="10" style="19" customWidth="1"/>
    <col min="8202" max="8202" width="9.5703125" style="19" customWidth="1"/>
    <col min="8203" max="8448" width="9.140625" style="19"/>
    <col min="8449" max="8449" width="86.85546875" style="19" customWidth="1"/>
    <col min="8450" max="8450" width="13" style="19" customWidth="1"/>
    <col min="8451" max="8455" width="18.7109375" style="19" customWidth="1"/>
    <col min="8456" max="8456" width="15" style="19" customWidth="1"/>
    <col min="8457" max="8457" width="10" style="19" customWidth="1"/>
    <col min="8458" max="8458" width="9.5703125" style="19" customWidth="1"/>
    <col min="8459" max="8704" width="9.140625" style="19"/>
    <col min="8705" max="8705" width="86.85546875" style="19" customWidth="1"/>
    <col min="8706" max="8706" width="13" style="19" customWidth="1"/>
    <col min="8707" max="8711" width="18.7109375" style="19" customWidth="1"/>
    <col min="8712" max="8712" width="15" style="19" customWidth="1"/>
    <col min="8713" max="8713" width="10" style="19" customWidth="1"/>
    <col min="8714" max="8714" width="9.5703125" style="19" customWidth="1"/>
    <col min="8715" max="8960" width="9.140625" style="19"/>
    <col min="8961" max="8961" width="86.85546875" style="19" customWidth="1"/>
    <col min="8962" max="8962" width="13" style="19" customWidth="1"/>
    <col min="8963" max="8967" width="18.7109375" style="19" customWidth="1"/>
    <col min="8968" max="8968" width="15" style="19" customWidth="1"/>
    <col min="8969" max="8969" width="10" style="19" customWidth="1"/>
    <col min="8970" max="8970" width="9.5703125" style="19" customWidth="1"/>
    <col min="8971" max="9216" width="9.140625" style="19"/>
    <col min="9217" max="9217" width="86.85546875" style="19" customWidth="1"/>
    <col min="9218" max="9218" width="13" style="19" customWidth="1"/>
    <col min="9219" max="9223" width="18.7109375" style="19" customWidth="1"/>
    <col min="9224" max="9224" width="15" style="19" customWidth="1"/>
    <col min="9225" max="9225" width="10" style="19" customWidth="1"/>
    <col min="9226" max="9226" width="9.5703125" style="19" customWidth="1"/>
    <col min="9227" max="9472" width="9.140625" style="19"/>
    <col min="9473" max="9473" width="86.85546875" style="19" customWidth="1"/>
    <col min="9474" max="9474" width="13" style="19" customWidth="1"/>
    <col min="9475" max="9479" width="18.7109375" style="19" customWidth="1"/>
    <col min="9480" max="9480" width="15" style="19" customWidth="1"/>
    <col min="9481" max="9481" width="10" style="19" customWidth="1"/>
    <col min="9482" max="9482" width="9.5703125" style="19" customWidth="1"/>
    <col min="9483" max="9728" width="9.140625" style="19"/>
    <col min="9729" max="9729" width="86.85546875" style="19" customWidth="1"/>
    <col min="9730" max="9730" width="13" style="19" customWidth="1"/>
    <col min="9731" max="9735" width="18.7109375" style="19" customWidth="1"/>
    <col min="9736" max="9736" width="15" style="19" customWidth="1"/>
    <col min="9737" max="9737" width="10" style="19" customWidth="1"/>
    <col min="9738" max="9738" width="9.5703125" style="19" customWidth="1"/>
    <col min="9739" max="9984" width="9.140625" style="19"/>
    <col min="9985" max="9985" width="86.85546875" style="19" customWidth="1"/>
    <col min="9986" max="9986" width="13" style="19" customWidth="1"/>
    <col min="9987" max="9991" width="18.7109375" style="19" customWidth="1"/>
    <col min="9992" max="9992" width="15" style="19" customWidth="1"/>
    <col min="9993" max="9993" width="10" style="19" customWidth="1"/>
    <col min="9994" max="9994" width="9.5703125" style="19" customWidth="1"/>
    <col min="9995" max="10240" width="9.140625" style="19"/>
    <col min="10241" max="10241" width="86.85546875" style="19" customWidth="1"/>
    <col min="10242" max="10242" width="13" style="19" customWidth="1"/>
    <col min="10243" max="10247" width="18.7109375" style="19" customWidth="1"/>
    <col min="10248" max="10248" width="15" style="19" customWidth="1"/>
    <col min="10249" max="10249" width="10" style="19" customWidth="1"/>
    <col min="10250" max="10250" width="9.5703125" style="19" customWidth="1"/>
    <col min="10251" max="10496" width="9.140625" style="19"/>
    <col min="10497" max="10497" width="86.85546875" style="19" customWidth="1"/>
    <col min="10498" max="10498" width="13" style="19" customWidth="1"/>
    <col min="10499" max="10503" width="18.7109375" style="19" customWidth="1"/>
    <col min="10504" max="10504" width="15" style="19" customWidth="1"/>
    <col min="10505" max="10505" width="10" style="19" customWidth="1"/>
    <col min="10506" max="10506" width="9.5703125" style="19" customWidth="1"/>
    <col min="10507" max="10752" width="9.140625" style="19"/>
    <col min="10753" max="10753" width="86.85546875" style="19" customWidth="1"/>
    <col min="10754" max="10754" width="13" style="19" customWidth="1"/>
    <col min="10755" max="10759" width="18.7109375" style="19" customWidth="1"/>
    <col min="10760" max="10760" width="15" style="19" customWidth="1"/>
    <col min="10761" max="10761" width="10" style="19" customWidth="1"/>
    <col min="10762" max="10762" width="9.5703125" style="19" customWidth="1"/>
    <col min="10763" max="11008" width="9.140625" style="19"/>
    <col min="11009" max="11009" width="86.85546875" style="19" customWidth="1"/>
    <col min="11010" max="11010" width="13" style="19" customWidth="1"/>
    <col min="11011" max="11015" width="18.7109375" style="19" customWidth="1"/>
    <col min="11016" max="11016" width="15" style="19" customWidth="1"/>
    <col min="11017" max="11017" width="10" style="19" customWidth="1"/>
    <col min="11018" max="11018" width="9.5703125" style="19" customWidth="1"/>
    <col min="11019" max="11264" width="9.140625" style="19"/>
    <col min="11265" max="11265" width="86.85546875" style="19" customWidth="1"/>
    <col min="11266" max="11266" width="13" style="19" customWidth="1"/>
    <col min="11267" max="11271" width="18.7109375" style="19" customWidth="1"/>
    <col min="11272" max="11272" width="15" style="19" customWidth="1"/>
    <col min="11273" max="11273" width="10" style="19" customWidth="1"/>
    <col min="11274" max="11274" width="9.5703125" style="19" customWidth="1"/>
    <col min="11275" max="11520" width="9.140625" style="19"/>
    <col min="11521" max="11521" width="86.85546875" style="19" customWidth="1"/>
    <col min="11522" max="11522" width="13" style="19" customWidth="1"/>
    <col min="11523" max="11527" width="18.7109375" style="19" customWidth="1"/>
    <col min="11528" max="11528" width="15" style="19" customWidth="1"/>
    <col min="11529" max="11529" width="10" style="19" customWidth="1"/>
    <col min="11530" max="11530" width="9.5703125" style="19" customWidth="1"/>
    <col min="11531" max="11776" width="9.140625" style="19"/>
    <col min="11777" max="11777" width="86.85546875" style="19" customWidth="1"/>
    <col min="11778" max="11778" width="13" style="19" customWidth="1"/>
    <col min="11779" max="11783" width="18.7109375" style="19" customWidth="1"/>
    <col min="11784" max="11784" width="15" style="19" customWidth="1"/>
    <col min="11785" max="11785" width="10" style="19" customWidth="1"/>
    <col min="11786" max="11786" width="9.5703125" style="19" customWidth="1"/>
    <col min="11787" max="12032" width="9.140625" style="19"/>
    <col min="12033" max="12033" width="86.85546875" style="19" customWidth="1"/>
    <col min="12034" max="12034" width="13" style="19" customWidth="1"/>
    <col min="12035" max="12039" width="18.7109375" style="19" customWidth="1"/>
    <col min="12040" max="12040" width="15" style="19" customWidth="1"/>
    <col min="12041" max="12041" width="10" style="19" customWidth="1"/>
    <col min="12042" max="12042" width="9.5703125" style="19" customWidth="1"/>
    <col min="12043" max="12288" width="9.140625" style="19"/>
    <col min="12289" max="12289" width="86.85546875" style="19" customWidth="1"/>
    <col min="12290" max="12290" width="13" style="19" customWidth="1"/>
    <col min="12291" max="12295" width="18.7109375" style="19" customWidth="1"/>
    <col min="12296" max="12296" width="15" style="19" customWidth="1"/>
    <col min="12297" max="12297" width="10" style="19" customWidth="1"/>
    <col min="12298" max="12298" width="9.5703125" style="19" customWidth="1"/>
    <col min="12299" max="12544" width="9.140625" style="19"/>
    <col min="12545" max="12545" width="86.85546875" style="19" customWidth="1"/>
    <col min="12546" max="12546" width="13" style="19" customWidth="1"/>
    <col min="12547" max="12551" width="18.7109375" style="19" customWidth="1"/>
    <col min="12552" max="12552" width="15" style="19" customWidth="1"/>
    <col min="12553" max="12553" width="10" style="19" customWidth="1"/>
    <col min="12554" max="12554" width="9.5703125" style="19" customWidth="1"/>
    <col min="12555" max="12800" width="9.140625" style="19"/>
    <col min="12801" max="12801" width="86.85546875" style="19" customWidth="1"/>
    <col min="12802" max="12802" width="13" style="19" customWidth="1"/>
    <col min="12803" max="12807" width="18.7109375" style="19" customWidth="1"/>
    <col min="12808" max="12808" width="15" style="19" customWidth="1"/>
    <col min="12809" max="12809" width="10" style="19" customWidth="1"/>
    <col min="12810" max="12810" width="9.5703125" style="19" customWidth="1"/>
    <col min="12811" max="13056" width="9.140625" style="19"/>
    <col min="13057" max="13057" width="86.85546875" style="19" customWidth="1"/>
    <col min="13058" max="13058" width="13" style="19" customWidth="1"/>
    <col min="13059" max="13063" width="18.7109375" style="19" customWidth="1"/>
    <col min="13064" max="13064" width="15" style="19" customWidth="1"/>
    <col min="13065" max="13065" width="10" style="19" customWidth="1"/>
    <col min="13066" max="13066" width="9.5703125" style="19" customWidth="1"/>
    <col min="13067" max="13312" width="9.140625" style="19"/>
    <col min="13313" max="13313" width="86.85546875" style="19" customWidth="1"/>
    <col min="13314" max="13314" width="13" style="19" customWidth="1"/>
    <col min="13315" max="13319" width="18.7109375" style="19" customWidth="1"/>
    <col min="13320" max="13320" width="15" style="19" customWidth="1"/>
    <col min="13321" max="13321" width="10" style="19" customWidth="1"/>
    <col min="13322" max="13322" width="9.5703125" style="19" customWidth="1"/>
    <col min="13323" max="13568" width="9.140625" style="19"/>
    <col min="13569" max="13569" width="86.85546875" style="19" customWidth="1"/>
    <col min="13570" max="13570" width="13" style="19" customWidth="1"/>
    <col min="13571" max="13575" width="18.7109375" style="19" customWidth="1"/>
    <col min="13576" max="13576" width="15" style="19" customWidth="1"/>
    <col min="13577" max="13577" width="10" style="19" customWidth="1"/>
    <col min="13578" max="13578" width="9.5703125" style="19" customWidth="1"/>
    <col min="13579" max="13824" width="9.140625" style="19"/>
    <col min="13825" max="13825" width="86.85546875" style="19" customWidth="1"/>
    <col min="13826" max="13826" width="13" style="19" customWidth="1"/>
    <col min="13827" max="13831" width="18.7109375" style="19" customWidth="1"/>
    <col min="13832" max="13832" width="15" style="19" customWidth="1"/>
    <col min="13833" max="13833" width="10" style="19" customWidth="1"/>
    <col min="13834" max="13834" width="9.5703125" style="19" customWidth="1"/>
    <col min="13835" max="14080" width="9.140625" style="19"/>
    <col min="14081" max="14081" width="86.85546875" style="19" customWidth="1"/>
    <col min="14082" max="14082" width="13" style="19" customWidth="1"/>
    <col min="14083" max="14087" width="18.7109375" style="19" customWidth="1"/>
    <col min="14088" max="14088" width="15" style="19" customWidth="1"/>
    <col min="14089" max="14089" width="10" style="19" customWidth="1"/>
    <col min="14090" max="14090" width="9.5703125" style="19" customWidth="1"/>
    <col min="14091" max="14336" width="9.140625" style="19"/>
    <col min="14337" max="14337" width="86.85546875" style="19" customWidth="1"/>
    <col min="14338" max="14338" width="13" style="19" customWidth="1"/>
    <col min="14339" max="14343" width="18.7109375" style="19" customWidth="1"/>
    <col min="14344" max="14344" width="15" style="19" customWidth="1"/>
    <col min="14345" max="14345" width="10" style="19" customWidth="1"/>
    <col min="14346" max="14346" width="9.5703125" style="19" customWidth="1"/>
    <col min="14347" max="14592" width="9.140625" style="19"/>
    <col min="14593" max="14593" width="86.85546875" style="19" customWidth="1"/>
    <col min="14594" max="14594" width="13" style="19" customWidth="1"/>
    <col min="14595" max="14599" width="18.7109375" style="19" customWidth="1"/>
    <col min="14600" max="14600" width="15" style="19" customWidth="1"/>
    <col min="14601" max="14601" width="10" style="19" customWidth="1"/>
    <col min="14602" max="14602" width="9.5703125" style="19" customWidth="1"/>
    <col min="14603" max="14848" width="9.140625" style="19"/>
    <col min="14849" max="14849" width="86.85546875" style="19" customWidth="1"/>
    <col min="14850" max="14850" width="13" style="19" customWidth="1"/>
    <col min="14851" max="14855" width="18.7109375" style="19" customWidth="1"/>
    <col min="14856" max="14856" width="15" style="19" customWidth="1"/>
    <col min="14857" max="14857" width="10" style="19" customWidth="1"/>
    <col min="14858" max="14858" width="9.5703125" style="19" customWidth="1"/>
    <col min="14859" max="15104" width="9.140625" style="19"/>
    <col min="15105" max="15105" width="86.85546875" style="19" customWidth="1"/>
    <col min="15106" max="15106" width="13" style="19" customWidth="1"/>
    <col min="15107" max="15111" width="18.7109375" style="19" customWidth="1"/>
    <col min="15112" max="15112" width="15" style="19" customWidth="1"/>
    <col min="15113" max="15113" width="10" style="19" customWidth="1"/>
    <col min="15114" max="15114" width="9.5703125" style="19" customWidth="1"/>
    <col min="15115" max="15360" width="9.140625" style="19"/>
    <col min="15361" max="15361" width="86.85546875" style="19" customWidth="1"/>
    <col min="15362" max="15362" width="13" style="19" customWidth="1"/>
    <col min="15363" max="15367" width="18.7109375" style="19" customWidth="1"/>
    <col min="15368" max="15368" width="15" style="19" customWidth="1"/>
    <col min="15369" max="15369" width="10" style="19" customWidth="1"/>
    <col min="15370" max="15370" width="9.5703125" style="19" customWidth="1"/>
    <col min="15371" max="15616" width="9.140625" style="19"/>
    <col min="15617" max="15617" width="86.85546875" style="19" customWidth="1"/>
    <col min="15618" max="15618" width="13" style="19" customWidth="1"/>
    <col min="15619" max="15623" width="18.7109375" style="19" customWidth="1"/>
    <col min="15624" max="15624" width="15" style="19" customWidth="1"/>
    <col min="15625" max="15625" width="10" style="19" customWidth="1"/>
    <col min="15626" max="15626" width="9.5703125" style="19" customWidth="1"/>
    <col min="15627" max="15872" width="9.140625" style="19"/>
    <col min="15873" max="15873" width="86.85546875" style="19" customWidth="1"/>
    <col min="15874" max="15874" width="13" style="19" customWidth="1"/>
    <col min="15875" max="15879" width="18.7109375" style="19" customWidth="1"/>
    <col min="15880" max="15880" width="15" style="19" customWidth="1"/>
    <col min="15881" max="15881" width="10" style="19" customWidth="1"/>
    <col min="15882" max="15882" width="9.5703125" style="19" customWidth="1"/>
    <col min="15883" max="16128" width="9.140625" style="19"/>
    <col min="16129" max="16129" width="86.85546875" style="19" customWidth="1"/>
    <col min="16130" max="16130" width="13" style="19" customWidth="1"/>
    <col min="16131" max="16135" width="18.7109375" style="19" customWidth="1"/>
    <col min="16136" max="16136" width="15" style="19" customWidth="1"/>
    <col min="16137" max="16137" width="10" style="19" customWidth="1"/>
    <col min="16138" max="16138" width="9.5703125" style="19" customWidth="1"/>
    <col min="16139" max="16384" width="9.140625" style="19"/>
  </cols>
  <sheetData>
    <row r="1" spans="1:9" hidden="1" outlineLevel="1" x14ac:dyDescent="0.25">
      <c r="H1" s="102" t="s">
        <v>0</v>
      </c>
    </row>
    <row r="2" spans="1:9" hidden="1" outlineLevel="1" x14ac:dyDescent="0.25">
      <c r="H2" s="102" t="s">
        <v>95</v>
      </c>
    </row>
    <row r="3" spans="1:9" collapsed="1" x14ac:dyDescent="0.25">
      <c r="A3" s="284" t="s">
        <v>96</v>
      </c>
      <c r="B3" s="284"/>
      <c r="C3" s="284"/>
      <c r="D3" s="284"/>
      <c r="E3" s="284"/>
      <c r="F3" s="284"/>
      <c r="G3" s="284"/>
      <c r="H3" s="284"/>
      <c r="I3" s="283">
        <v>31</v>
      </c>
    </row>
    <row r="4" spans="1:9" ht="38.25" customHeight="1" x14ac:dyDescent="0.25">
      <c r="A4" s="260" t="s">
        <v>97</v>
      </c>
      <c r="B4" s="285" t="s">
        <v>4</v>
      </c>
      <c r="C4" s="259" t="s">
        <v>98</v>
      </c>
      <c r="D4" s="259"/>
      <c r="E4" s="260" t="s">
        <v>315</v>
      </c>
      <c r="F4" s="260"/>
      <c r="G4" s="260"/>
      <c r="H4" s="260"/>
      <c r="I4" s="283"/>
    </row>
    <row r="5" spans="1:9" ht="56.25" customHeight="1" x14ac:dyDescent="0.25">
      <c r="A5" s="260"/>
      <c r="B5" s="285"/>
      <c r="C5" s="192" t="s">
        <v>447</v>
      </c>
      <c r="D5" s="192" t="s">
        <v>448</v>
      </c>
      <c r="E5" s="192" t="s">
        <v>449</v>
      </c>
      <c r="F5" s="192" t="s">
        <v>450</v>
      </c>
      <c r="G5" s="4" t="s">
        <v>7</v>
      </c>
      <c r="H5" s="4" t="s">
        <v>8</v>
      </c>
      <c r="I5" s="283"/>
    </row>
    <row r="6" spans="1:9" x14ac:dyDescent="0.25">
      <c r="A6" s="193">
        <v>1</v>
      </c>
      <c r="B6" s="197">
        <v>2</v>
      </c>
      <c r="C6" s="193">
        <v>3</v>
      </c>
      <c r="D6" s="197">
        <v>4</v>
      </c>
      <c r="E6" s="193">
        <v>5</v>
      </c>
      <c r="F6" s="197">
        <v>6</v>
      </c>
      <c r="G6" s="193">
        <v>7</v>
      </c>
      <c r="H6" s="197">
        <v>8</v>
      </c>
      <c r="I6" s="283"/>
    </row>
    <row r="7" spans="1:9" ht="24.95" customHeight="1" x14ac:dyDescent="0.25">
      <c r="A7" s="286" t="s">
        <v>101</v>
      </c>
      <c r="B7" s="286"/>
      <c r="C7" s="286"/>
      <c r="D7" s="286"/>
      <c r="E7" s="286"/>
      <c r="F7" s="286"/>
      <c r="G7" s="286"/>
      <c r="H7" s="286"/>
      <c r="I7" s="283"/>
    </row>
    <row r="8" spans="1:9" ht="42.75" customHeight="1" x14ac:dyDescent="0.25">
      <c r="A8" s="21" t="s">
        <v>102</v>
      </c>
      <c r="B8" s="191">
        <v>2000</v>
      </c>
      <c r="C8" s="194">
        <v>282</v>
      </c>
      <c r="D8" s="194">
        <f>F8</f>
        <v>2379</v>
      </c>
      <c r="E8" s="194">
        <f>48*4</f>
        <v>192</v>
      </c>
      <c r="F8" s="194">
        <v>2379</v>
      </c>
      <c r="G8" s="194">
        <f>F8-E8</f>
        <v>2187</v>
      </c>
      <c r="H8" s="194">
        <f>F8/E8*100</f>
        <v>1239.0625</v>
      </c>
      <c r="I8" s="283"/>
    </row>
    <row r="9" spans="1:9" ht="37.5" customHeight="1" x14ac:dyDescent="0.25">
      <c r="A9" s="21" t="s">
        <v>103</v>
      </c>
      <c r="B9" s="191">
        <v>2010</v>
      </c>
      <c r="C9" s="194">
        <v>2</v>
      </c>
      <c r="D9" s="194">
        <f>F9</f>
        <v>0</v>
      </c>
      <c r="E9" s="194">
        <f>0.8*4</f>
        <v>3.2</v>
      </c>
      <c r="F9" s="194">
        <f>F10</f>
        <v>0</v>
      </c>
      <c r="G9" s="194">
        <f t="shared" ref="G9:G19" si="0">F9-E9</f>
        <v>-3.2</v>
      </c>
      <c r="H9" s="194">
        <f>F9/E9*100</f>
        <v>0</v>
      </c>
      <c r="I9" s="283"/>
    </row>
    <row r="10" spans="1:9" ht="42.75" customHeight="1" x14ac:dyDescent="0.25">
      <c r="A10" s="5" t="s">
        <v>104</v>
      </c>
      <c r="B10" s="191">
        <v>2011</v>
      </c>
      <c r="C10" s="194">
        <v>2</v>
      </c>
      <c r="D10" s="194">
        <f t="shared" ref="D10:D18" si="1">F10</f>
        <v>0</v>
      </c>
      <c r="E10" s="194">
        <f>0.8*4</f>
        <v>3.2</v>
      </c>
      <c r="F10" s="194">
        <v>0</v>
      </c>
      <c r="G10" s="194">
        <f t="shared" si="0"/>
        <v>-3.2</v>
      </c>
      <c r="H10" s="194">
        <f t="shared" ref="H10" si="2">F10/E10*100</f>
        <v>0</v>
      </c>
      <c r="I10" s="283"/>
    </row>
    <row r="11" spans="1:9" ht="55.5" customHeight="1" x14ac:dyDescent="0.25">
      <c r="A11" s="5" t="s">
        <v>105</v>
      </c>
      <c r="B11" s="191">
        <v>2012</v>
      </c>
      <c r="C11" s="194">
        <v>0</v>
      </c>
      <c r="D11" s="194">
        <f t="shared" si="1"/>
        <v>0</v>
      </c>
      <c r="E11" s="194">
        <v>0</v>
      </c>
      <c r="F11" s="194">
        <v>0</v>
      </c>
      <c r="G11" s="194">
        <f t="shared" si="0"/>
        <v>0</v>
      </c>
      <c r="H11" s="194">
        <v>0</v>
      </c>
      <c r="I11" s="283"/>
    </row>
    <row r="12" spans="1:9" ht="20.100000000000001" customHeight="1" x14ac:dyDescent="0.25">
      <c r="A12" s="5" t="s">
        <v>106</v>
      </c>
      <c r="B12" s="191" t="s">
        <v>107</v>
      </c>
      <c r="C12" s="194">
        <v>0</v>
      </c>
      <c r="D12" s="194">
        <f t="shared" si="1"/>
        <v>0</v>
      </c>
      <c r="E12" s="194">
        <v>0</v>
      </c>
      <c r="F12" s="194">
        <v>0</v>
      </c>
      <c r="G12" s="194">
        <f t="shared" si="0"/>
        <v>0</v>
      </c>
      <c r="H12" s="194">
        <v>0</v>
      </c>
      <c r="I12" s="283"/>
    </row>
    <row r="13" spans="1:9" ht="20.100000000000001" customHeight="1" x14ac:dyDescent="0.25">
      <c r="A13" s="5" t="s">
        <v>108</v>
      </c>
      <c r="B13" s="191">
        <v>2020</v>
      </c>
      <c r="C13" s="194">
        <v>0</v>
      </c>
      <c r="D13" s="194">
        <f t="shared" si="1"/>
        <v>0</v>
      </c>
      <c r="E13" s="194">
        <v>0</v>
      </c>
      <c r="F13" s="194">
        <v>0</v>
      </c>
      <c r="G13" s="194">
        <f t="shared" si="0"/>
        <v>0</v>
      </c>
      <c r="H13" s="194">
        <v>0</v>
      </c>
      <c r="I13" s="283"/>
    </row>
    <row r="14" spans="1:9" s="22" customFormat="1" ht="20.100000000000001" customHeight="1" x14ac:dyDescent="0.25">
      <c r="A14" s="21" t="s">
        <v>109</v>
      </c>
      <c r="B14" s="191">
        <v>2030</v>
      </c>
      <c r="C14" s="194">
        <v>0</v>
      </c>
      <c r="D14" s="194">
        <f t="shared" si="1"/>
        <v>0</v>
      </c>
      <c r="E14" s="194">
        <v>105</v>
      </c>
      <c r="F14" s="194">
        <v>0</v>
      </c>
      <c r="G14" s="194">
        <f t="shared" si="0"/>
        <v>-105</v>
      </c>
      <c r="H14" s="194">
        <v>0</v>
      </c>
      <c r="I14" s="283"/>
    </row>
    <row r="15" spans="1:9" ht="20.100000000000001" customHeight="1" x14ac:dyDescent="0.25">
      <c r="A15" s="21" t="s">
        <v>110</v>
      </c>
      <c r="B15" s="191">
        <v>2031</v>
      </c>
      <c r="C15" s="194">
        <v>0</v>
      </c>
      <c r="D15" s="194">
        <f t="shared" si="1"/>
        <v>0</v>
      </c>
      <c r="E15" s="194">
        <v>0</v>
      </c>
      <c r="F15" s="194">
        <v>0</v>
      </c>
      <c r="G15" s="194">
        <f t="shared" si="0"/>
        <v>0</v>
      </c>
      <c r="H15" s="194">
        <v>0</v>
      </c>
      <c r="I15" s="283"/>
    </row>
    <row r="16" spans="1:9" ht="20.100000000000001" customHeight="1" x14ac:dyDescent="0.25">
      <c r="A16" s="21" t="s">
        <v>111</v>
      </c>
      <c r="B16" s="191">
        <v>2040</v>
      </c>
      <c r="C16" s="194">
        <v>0</v>
      </c>
      <c r="D16" s="194">
        <f t="shared" si="1"/>
        <v>0</v>
      </c>
      <c r="E16" s="194">
        <v>0</v>
      </c>
      <c r="F16" s="194">
        <v>0</v>
      </c>
      <c r="G16" s="194">
        <f t="shared" si="0"/>
        <v>0</v>
      </c>
      <c r="H16" s="194">
        <v>0</v>
      </c>
      <c r="I16" s="283"/>
    </row>
    <row r="17" spans="1:12" ht="20.100000000000001" customHeight="1" x14ac:dyDescent="0.25">
      <c r="A17" s="21" t="s">
        <v>112</v>
      </c>
      <c r="B17" s="191">
        <v>2050</v>
      </c>
      <c r="C17" s="194">
        <v>0</v>
      </c>
      <c r="D17" s="194">
        <f t="shared" si="1"/>
        <v>0</v>
      </c>
      <c r="E17" s="194">
        <v>0</v>
      </c>
      <c r="F17" s="194">
        <v>0</v>
      </c>
      <c r="G17" s="194">
        <f t="shared" si="0"/>
        <v>0</v>
      </c>
      <c r="H17" s="194">
        <v>0</v>
      </c>
      <c r="I17" s="283"/>
    </row>
    <row r="18" spans="1:12" ht="20.100000000000001" customHeight="1" x14ac:dyDescent="0.25">
      <c r="A18" s="21" t="s">
        <v>113</v>
      </c>
      <c r="B18" s="191">
        <v>2060</v>
      </c>
      <c r="C18" s="194">
        <v>-71</v>
      </c>
      <c r="D18" s="194">
        <f t="shared" si="1"/>
        <v>-558</v>
      </c>
      <c r="E18" s="194">
        <v>0</v>
      </c>
      <c r="F18" s="194">
        <v>-558</v>
      </c>
      <c r="G18" s="194">
        <f t="shared" si="0"/>
        <v>-558</v>
      </c>
      <c r="H18" s="194">
        <v>0</v>
      </c>
      <c r="I18" s="283"/>
    </row>
    <row r="19" spans="1:12" ht="42.75" customHeight="1" x14ac:dyDescent="0.25">
      <c r="A19" s="21" t="s">
        <v>114</v>
      </c>
      <c r="B19" s="191">
        <v>2070</v>
      </c>
      <c r="C19" s="194">
        <f>'Розрахунки з бюджетом'!C8+Фін.результат!C72-'Розрахунки з бюджетом'!C9-'Розрахунки з бюджетом'!C18</f>
        <v>2379</v>
      </c>
      <c r="D19" s="194">
        <f>F19</f>
        <v>773</v>
      </c>
      <c r="E19" s="194">
        <f>E8+Фін.результат!E72-'Розрахунки з бюджетом'!E9-'Розрахунки з бюджетом'!E14</f>
        <v>191.8</v>
      </c>
      <c r="F19" s="194">
        <f>F8+Фін.результат!F72+'Розрахунки з бюджетом'!F18</f>
        <v>773</v>
      </c>
      <c r="G19" s="194">
        <f t="shared" si="0"/>
        <v>581.20000000000005</v>
      </c>
      <c r="H19" s="194">
        <f>F19/E19*100</f>
        <v>403.02398331595413</v>
      </c>
      <c r="I19" s="283"/>
    </row>
    <row r="20" spans="1:12" ht="24.95" customHeight="1" x14ac:dyDescent="0.25">
      <c r="A20" s="286" t="s">
        <v>115</v>
      </c>
      <c r="B20" s="286"/>
      <c r="C20" s="286"/>
      <c r="D20" s="286"/>
      <c r="E20" s="286"/>
      <c r="F20" s="286"/>
      <c r="G20" s="286"/>
      <c r="H20" s="286"/>
      <c r="I20" s="283"/>
    </row>
    <row r="21" spans="1:12" ht="36.75" customHeight="1" x14ac:dyDescent="0.25">
      <c r="A21" s="21" t="s">
        <v>103</v>
      </c>
      <c r="B21" s="191">
        <v>2100</v>
      </c>
      <c r="C21" s="194">
        <f>C22</f>
        <v>2</v>
      </c>
      <c r="D21" s="194">
        <f>F21</f>
        <v>64</v>
      </c>
      <c r="E21" s="194">
        <f>E22</f>
        <v>3.2</v>
      </c>
      <c r="F21" s="194">
        <f>F22</f>
        <v>64</v>
      </c>
      <c r="G21" s="194">
        <f>F21-E21</f>
        <v>60.8</v>
      </c>
      <c r="H21" s="194">
        <f>F21*100/E21</f>
        <v>2000</v>
      </c>
      <c r="I21" s="283"/>
    </row>
    <row r="22" spans="1:12" ht="42.75" customHeight="1" x14ac:dyDescent="0.25">
      <c r="A22" s="5" t="s">
        <v>104</v>
      </c>
      <c r="B22" s="191">
        <v>2101</v>
      </c>
      <c r="C22" s="194">
        <v>2</v>
      </c>
      <c r="D22" s="194">
        <f t="shared" ref="D22:D41" si="3">F22</f>
        <v>64</v>
      </c>
      <c r="E22" s="194">
        <f>0.8*4</f>
        <v>3.2</v>
      </c>
      <c r="F22" s="194">
        <v>64</v>
      </c>
      <c r="G22" s="194">
        <f t="shared" ref="G22:G25" si="4">F22-E22</f>
        <v>60.8</v>
      </c>
      <c r="H22" s="194">
        <f>F22*100/E22</f>
        <v>2000</v>
      </c>
      <c r="I22" s="283"/>
    </row>
    <row r="23" spans="1:12" ht="63.95" customHeight="1" x14ac:dyDescent="0.25">
      <c r="A23" s="5" t="s">
        <v>116</v>
      </c>
      <c r="B23" s="191">
        <v>2102</v>
      </c>
      <c r="C23" s="194">
        <v>0</v>
      </c>
      <c r="D23" s="194">
        <f t="shared" si="3"/>
        <v>0</v>
      </c>
      <c r="E23" s="194">
        <v>0</v>
      </c>
      <c r="F23" s="194">
        <v>0</v>
      </c>
      <c r="G23" s="194">
        <f t="shared" si="4"/>
        <v>0</v>
      </c>
      <c r="H23" s="194">
        <v>0</v>
      </c>
      <c r="I23" s="283"/>
    </row>
    <row r="24" spans="1:12" s="22" customFormat="1" ht="20.100000000000001" customHeight="1" x14ac:dyDescent="0.25">
      <c r="A24" s="21" t="s">
        <v>117</v>
      </c>
      <c r="B24" s="193">
        <v>2110</v>
      </c>
      <c r="C24" s="179">
        <v>2</v>
      </c>
      <c r="D24" s="194">
        <f t="shared" si="3"/>
        <v>113</v>
      </c>
      <c r="E24" s="179">
        <f>6*4</f>
        <v>24</v>
      </c>
      <c r="F24" s="179">
        <v>113</v>
      </c>
      <c r="G24" s="194">
        <f t="shared" si="4"/>
        <v>89</v>
      </c>
      <c r="H24" s="194">
        <f>F24*100/E24</f>
        <v>470.83333333333331</v>
      </c>
      <c r="I24" s="283"/>
    </row>
    <row r="25" spans="1:12" ht="42.75" customHeight="1" x14ac:dyDescent="0.25">
      <c r="A25" s="21" t="s">
        <v>118</v>
      </c>
      <c r="B25" s="193">
        <v>2120</v>
      </c>
      <c r="C25" s="179">
        <v>2453</v>
      </c>
      <c r="D25" s="194">
        <f t="shared" si="3"/>
        <v>2906</v>
      </c>
      <c r="E25" s="179">
        <f>750*4</f>
        <v>3000</v>
      </c>
      <c r="F25" s="179">
        <v>2906</v>
      </c>
      <c r="G25" s="194">
        <f t="shared" si="4"/>
        <v>-94</v>
      </c>
      <c r="H25" s="194">
        <f>F25*100/E25</f>
        <v>96.86666666666666</v>
      </c>
      <c r="I25" s="283"/>
    </row>
    <row r="26" spans="1:12" ht="42.75" customHeight="1" x14ac:dyDescent="0.25">
      <c r="A26" s="21" t="s">
        <v>119</v>
      </c>
      <c r="B26" s="193">
        <v>2130</v>
      </c>
      <c r="C26" s="179">
        <v>0</v>
      </c>
      <c r="D26" s="194">
        <f t="shared" si="3"/>
        <v>0</v>
      </c>
      <c r="E26" s="179">
        <v>0</v>
      </c>
      <c r="F26" s="179">
        <v>0</v>
      </c>
      <c r="G26" s="194">
        <f>E26-F26</f>
        <v>0</v>
      </c>
      <c r="H26" s="194">
        <v>0</v>
      </c>
      <c r="I26" s="283"/>
    </row>
    <row r="27" spans="1:12" ht="24.95" hidden="1" customHeight="1" outlineLevel="1" x14ac:dyDescent="0.25">
      <c r="A27" s="21"/>
      <c r="B27" s="193"/>
      <c r="C27" s="179"/>
      <c r="D27" s="194" t="str">
        <f t="shared" si="3"/>
        <v>Продовження додатка 3</v>
      </c>
      <c r="E27" s="179"/>
      <c r="F27" s="280" t="s">
        <v>0</v>
      </c>
      <c r="G27" s="281"/>
      <c r="H27" s="282"/>
      <c r="I27" s="195"/>
    </row>
    <row r="28" spans="1:12" ht="24.95" hidden="1" customHeight="1" outlineLevel="1" x14ac:dyDescent="0.25">
      <c r="A28" s="21"/>
      <c r="B28" s="193"/>
      <c r="C28" s="179"/>
      <c r="D28" s="194" t="str">
        <f t="shared" si="3"/>
        <v>Продовження  таблиці 2</v>
      </c>
      <c r="E28" s="179"/>
      <c r="F28" s="280" t="s">
        <v>120</v>
      </c>
      <c r="G28" s="281"/>
      <c r="H28" s="282"/>
      <c r="I28" s="195"/>
    </row>
    <row r="29" spans="1:12" s="87" customFormat="1" ht="42.75" customHeight="1" collapsed="1" x14ac:dyDescent="0.25">
      <c r="A29" s="198" t="s">
        <v>121</v>
      </c>
      <c r="B29" s="23">
        <v>2140</v>
      </c>
      <c r="C29" s="180">
        <f>C30+C31+C32+C33+C34+C35+C36+C37+C38</f>
        <v>5505</v>
      </c>
      <c r="D29" s="25">
        <f>F29</f>
        <v>6722</v>
      </c>
      <c r="E29" s="180">
        <f>SUM(E30:E38)</f>
        <v>6928</v>
      </c>
      <c r="F29" s="180">
        <f>SUM(F30:F38)</f>
        <v>6722</v>
      </c>
      <c r="G29" s="25">
        <f>F29-E29</f>
        <v>-206</v>
      </c>
      <c r="H29" s="25">
        <f>F29*100/E29</f>
        <v>97.026558891454968</v>
      </c>
      <c r="I29" s="283">
        <v>32</v>
      </c>
      <c r="J29" s="196"/>
      <c r="K29" s="196"/>
      <c r="L29" s="196"/>
    </row>
    <row r="30" spans="1:12" ht="20.100000000000001" customHeight="1" x14ac:dyDescent="0.25">
      <c r="A30" s="21" t="s">
        <v>122</v>
      </c>
      <c r="B30" s="193">
        <v>2141</v>
      </c>
      <c r="C30" s="179">
        <v>0</v>
      </c>
      <c r="D30" s="194">
        <f>F30</f>
        <v>0</v>
      </c>
      <c r="E30" s="179">
        <v>0</v>
      </c>
      <c r="F30" s="179">
        <v>0</v>
      </c>
      <c r="G30" s="25">
        <f t="shared" ref="G30:G41" si="5">F30-E30</f>
        <v>0</v>
      </c>
      <c r="H30" s="25">
        <v>0</v>
      </c>
      <c r="I30" s="283"/>
    </row>
    <row r="31" spans="1:12" ht="20.100000000000001" customHeight="1" x14ac:dyDescent="0.25">
      <c r="A31" s="21" t="s">
        <v>123</v>
      </c>
      <c r="B31" s="193">
        <v>2142</v>
      </c>
      <c r="C31" s="179">
        <v>0</v>
      </c>
      <c r="D31" s="194">
        <f t="shared" ref="D31:D37" si="6">F31</f>
        <v>0</v>
      </c>
      <c r="E31" s="179">
        <v>0</v>
      </c>
      <c r="F31" s="179">
        <v>0</v>
      </c>
      <c r="G31" s="25">
        <f t="shared" si="5"/>
        <v>0</v>
      </c>
      <c r="H31" s="25">
        <v>0</v>
      </c>
      <c r="I31" s="283"/>
    </row>
    <row r="32" spans="1:12" ht="20.100000000000001" customHeight="1" x14ac:dyDescent="0.25">
      <c r="A32" s="21" t="s">
        <v>124</v>
      </c>
      <c r="B32" s="193">
        <v>2143</v>
      </c>
      <c r="C32" s="179">
        <v>2733</v>
      </c>
      <c r="D32" s="194">
        <f t="shared" si="6"/>
        <v>2849</v>
      </c>
      <c r="E32" s="179">
        <f>873*4</f>
        <v>3492</v>
      </c>
      <c r="F32" s="179">
        <v>2849</v>
      </c>
      <c r="G32" s="25">
        <f t="shared" si="5"/>
        <v>-643</v>
      </c>
      <c r="H32" s="25">
        <f>F32*100/E32</f>
        <v>81.5864833906071</v>
      </c>
      <c r="I32" s="283"/>
    </row>
    <row r="33" spans="1:10" ht="20.100000000000001" customHeight="1" x14ac:dyDescent="0.25">
      <c r="A33" s="21" t="s">
        <v>125</v>
      </c>
      <c r="B33" s="193">
        <v>2144</v>
      </c>
      <c r="C33" s="179">
        <v>1338</v>
      </c>
      <c r="D33" s="194">
        <f t="shared" si="6"/>
        <v>1612</v>
      </c>
      <c r="E33" s="179">
        <f>378*4</f>
        <v>1512</v>
      </c>
      <c r="F33" s="179">
        <v>1612</v>
      </c>
      <c r="G33" s="25">
        <f t="shared" si="5"/>
        <v>100</v>
      </c>
      <c r="H33" s="25">
        <f>F33*100/E33</f>
        <v>106.61375661375661</v>
      </c>
      <c r="I33" s="283"/>
    </row>
    <row r="34" spans="1:10" s="22" customFormat="1" ht="20.100000000000001" customHeight="1" x14ac:dyDescent="0.25">
      <c r="A34" s="21" t="s">
        <v>126</v>
      </c>
      <c r="B34" s="193">
        <v>2145</v>
      </c>
      <c r="C34" s="179">
        <v>0</v>
      </c>
      <c r="D34" s="194">
        <f t="shared" si="6"/>
        <v>0</v>
      </c>
      <c r="E34" s="179">
        <v>0</v>
      </c>
      <c r="F34" s="179">
        <v>0</v>
      </c>
      <c r="G34" s="25">
        <f t="shared" si="5"/>
        <v>0</v>
      </c>
      <c r="H34" s="25">
        <v>0</v>
      </c>
      <c r="I34" s="283"/>
    </row>
    <row r="35" spans="1:10" ht="54.75" customHeight="1" x14ac:dyDescent="0.25">
      <c r="A35" s="21" t="s">
        <v>127</v>
      </c>
      <c r="B35" s="193" t="s">
        <v>128</v>
      </c>
      <c r="C35" s="179">
        <v>0</v>
      </c>
      <c r="D35" s="194">
        <f t="shared" si="6"/>
        <v>0</v>
      </c>
      <c r="E35" s="179">
        <v>0</v>
      </c>
      <c r="F35" s="179">
        <v>0</v>
      </c>
      <c r="G35" s="25">
        <f t="shared" si="5"/>
        <v>0</v>
      </c>
      <c r="H35" s="25">
        <v>0</v>
      </c>
      <c r="I35" s="283"/>
    </row>
    <row r="36" spans="1:10" ht="20.100000000000001" customHeight="1" x14ac:dyDescent="0.25">
      <c r="A36" s="21" t="s">
        <v>129</v>
      </c>
      <c r="B36" s="193" t="s">
        <v>130</v>
      </c>
      <c r="C36" s="179">
        <v>0</v>
      </c>
      <c r="D36" s="194">
        <f t="shared" si="6"/>
        <v>0</v>
      </c>
      <c r="E36" s="179">
        <v>0</v>
      </c>
      <c r="F36" s="179">
        <v>0</v>
      </c>
      <c r="G36" s="25">
        <f t="shared" si="5"/>
        <v>0</v>
      </c>
      <c r="H36" s="25">
        <v>0</v>
      </c>
      <c r="I36" s="283"/>
    </row>
    <row r="37" spans="1:10" s="22" customFormat="1" ht="20.100000000000001" customHeight="1" x14ac:dyDescent="0.25">
      <c r="A37" s="21" t="s">
        <v>131</v>
      </c>
      <c r="B37" s="193">
        <v>2146</v>
      </c>
      <c r="C37" s="179">
        <v>0</v>
      </c>
      <c r="D37" s="194">
        <f t="shared" si="6"/>
        <v>0</v>
      </c>
      <c r="E37" s="179">
        <v>0</v>
      </c>
      <c r="F37" s="179">
        <v>0</v>
      </c>
      <c r="G37" s="25">
        <f t="shared" si="5"/>
        <v>0</v>
      </c>
      <c r="H37" s="25">
        <v>0</v>
      </c>
      <c r="I37" s="283"/>
    </row>
    <row r="38" spans="1:10" ht="20.100000000000001" customHeight="1" x14ac:dyDescent="0.25">
      <c r="A38" s="21" t="s">
        <v>132</v>
      </c>
      <c r="B38" s="193">
        <v>2147</v>
      </c>
      <c r="C38" s="180">
        <f>SUM(C39:C40)</f>
        <v>1434</v>
      </c>
      <c r="D38" s="25">
        <f>F38</f>
        <v>2261</v>
      </c>
      <c r="E38" s="180">
        <f>E39+E40</f>
        <v>1924</v>
      </c>
      <c r="F38" s="180">
        <f>F39+F40</f>
        <v>2261</v>
      </c>
      <c r="G38" s="25">
        <f t="shared" si="5"/>
        <v>337</v>
      </c>
      <c r="H38" s="25">
        <f>F38*100/E38</f>
        <v>117.51559251559252</v>
      </c>
      <c r="I38" s="283"/>
    </row>
    <row r="39" spans="1:10" ht="20.100000000000001" customHeight="1" x14ac:dyDescent="0.25">
      <c r="A39" s="24" t="s">
        <v>133</v>
      </c>
      <c r="B39" s="193" t="s">
        <v>134</v>
      </c>
      <c r="C39" s="179">
        <v>115</v>
      </c>
      <c r="D39" s="194">
        <f>F39</f>
        <v>131</v>
      </c>
      <c r="E39" s="179">
        <f>31*4</f>
        <v>124</v>
      </c>
      <c r="F39" s="179">
        <v>131</v>
      </c>
      <c r="G39" s="25">
        <f t="shared" si="5"/>
        <v>7</v>
      </c>
      <c r="H39" s="25">
        <f t="shared" ref="H39:H42" si="7">F39*100/E39</f>
        <v>105.64516129032258</v>
      </c>
      <c r="I39" s="283"/>
    </row>
    <row r="40" spans="1:10" ht="20.100000000000001" customHeight="1" x14ac:dyDescent="0.25">
      <c r="A40" s="24" t="s">
        <v>135</v>
      </c>
      <c r="B40" s="193" t="s">
        <v>136</v>
      </c>
      <c r="C40" s="179">
        <v>1319</v>
      </c>
      <c r="D40" s="194">
        <f>F40</f>
        <v>2130</v>
      </c>
      <c r="E40" s="179">
        <f>450*4</f>
        <v>1800</v>
      </c>
      <c r="F40" s="179">
        <v>2130</v>
      </c>
      <c r="G40" s="25">
        <f t="shared" si="5"/>
        <v>330</v>
      </c>
      <c r="H40" s="25">
        <f t="shared" si="7"/>
        <v>118.33333333333333</v>
      </c>
      <c r="I40" s="283"/>
    </row>
    <row r="41" spans="1:10" s="22" customFormat="1" ht="37.5" customHeight="1" x14ac:dyDescent="0.25">
      <c r="A41" s="21" t="s">
        <v>137</v>
      </c>
      <c r="B41" s="193">
        <v>2150</v>
      </c>
      <c r="C41" s="179">
        <v>1550</v>
      </c>
      <c r="D41" s="194">
        <f t="shared" si="3"/>
        <v>1854</v>
      </c>
      <c r="E41" s="179">
        <f>462*4</f>
        <v>1848</v>
      </c>
      <c r="F41" s="179">
        <v>1854</v>
      </c>
      <c r="G41" s="25">
        <f t="shared" si="5"/>
        <v>6</v>
      </c>
      <c r="H41" s="25">
        <f t="shared" si="7"/>
        <v>100.32467532467533</v>
      </c>
      <c r="I41" s="283"/>
    </row>
    <row r="42" spans="1:10" s="22" customFormat="1" ht="24.95" customHeight="1" x14ac:dyDescent="0.25">
      <c r="A42" s="198" t="s">
        <v>138</v>
      </c>
      <c r="B42" s="23">
        <v>2200</v>
      </c>
      <c r="C42" s="180">
        <f>C21+C24+C25+C26+C29+C41</f>
        <v>9512</v>
      </c>
      <c r="D42" s="25">
        <f>F42</f>
        <v>11659</v>
      </c>
      <c r="E42" s="180">
        <f>E21+E24+E29+E41+E25</f>
        <v>11803.2</v>
      </c>
      <c r="F42" s="180">
        <f>F25+F29+F41+F24+F21</f>
        <v>11659</v>
      </c>
      <c r="G42" s="25">
        <f>F42-E42</f>
        <v>-144.20000000000073</v>
      </c>
      <c r="H42" s="25">
        <f t="shared" si="7"/>
        <v>98.778297410871616</v>
      </c>
      <c r="I42" s="283"/>
    </row>
    <row r="43" spans="1:10" s="22" customFormat="1" x14ac:dyDescent="0.25">
      <c r="A43" s="26"/>
      <c r="B43" s="20"/>
      <c r="C43" s="20"/>
      <c r="D43" s="20"/>
      <c r="E43" s="20"/>
      <c r="F43" s="20"/>
      <c r="G43" s="20"/>
      <c r="H43" s="20"/>
      <c r="I43" s="283"/>
    </row>
    <row r="44" spans="1:10" s="22" customFormat="1" x14ac:dyDescent="0.25">
      <c r="A44" s="26"/>
      <c r="B44" s="20"/>
      <c r="C44" s="20"/>
      <c r="D44" s="20"/>
      <c r="E44" s="20"/>
      <c r="F44" s="181"/>
      <c r="G44" s="20"/>
      <c r="H44" s="20"/>
      <c r="I44" s="283"/>
    </row>
    <row r="45" spans="1:10" s="22" customFormat="1" x14ac:dyDescent="0.25">
      <c r="A45" s="26"/>
      <c r="B45" s="20"/>
      <c r="C45" s="20"/>
      <c r="D45" s="20"/>
      <c r="E45" s="20"/>
      <c r="F45" s="20"/>
      <c r="G45" s="20"/>
      <c r="H45" s="20"/>
      <c r="I45" s="283"/>
    </row>
    <row r="46" spans="1:10" s="1" customFormat="1" ht="27.75" customHeight="1" x14ac:dyDescent="0.25">
      <c r="A46" s="13" t="s">
        <v>139</v>
      </c>
      <c r="B46" s="15"/>
      <c r="C46" s="273" t="s">
        <v>140</v>
      </c>
      <c r="D46" s="273"/>
      <c r="E46" s="143"/>
      <c r="F46" s="247" t="s">
        <v>317</v>
      </c>
      <c r="G46" s="247"/>
      <c r="H46" s="247"/>
      <c r="I46" s="283"/>
    </row>
    <row r="47" spans="1:10" s="79" customFormat="1" x14ac:dyDescent="0.25">
      <c r="A47" s="190" t="s">
        <v>141</v>
      </c>
      <c r="B47" s="1"/>
      <c r="C47" s="257" t="s">
        <v>142</v>
      </c>
      <c r="D47" s="257"/>
      <c r="E47" s="1"/>
      <c r="F47" s="249" t="s">
        <v>143</v>
      </c>
      <c r="G47" s="249"/>
      <c r="H47" s="249"/>
      <c r="I47" s="283"/>
    </row>
    <row r="48" spans="1:10" s="20" customFormat="1" x14ac:dyDescent="0.25">
      <c r="A48" s="27"/>
      <c r="I48" s="283"/>
      <c r="J48" s="19"/>
    </row>
    <row r="49" spans="1:10" s="20" customFormat="1" x14ac:dyDescent="0.25">
      <c r="A49" s="27"/>
      <c r="I49" s="283"/>
      <c r="J49" s="19"/>
    </row>
    <row r="50" spans="1:10" s="20" customFormat="1" x14ac:dyDescent="0.25">
      <c r="A50" s="27"/>
      <c r="I50" s="283"/>
      <c r="J50" s="19"/>
    </row>
    <row r="51" spans="1:10" s="20" customFormat="1" x14ac:dyDescent="0.25">
      <c r="A51" s="27"/>
      <c r="I51" s="283"/>
      <c r="J51" s="19"/>
    </row>
    <row r="52" spans="1:10" s="20" customFormat="1" x14ac:dyDescent="0.25">
      <c r="A52" s="27"/>
      <c r="I52" s="283"/>
      <c r="J52" s="19"/>
    </row>
    <row r="53" spans="1:10" s="20" customFormat="1" x14ac:dyDescent="0.25">
      <c r="A53" s="27"/>
      <c r="I53" s="283"/>
      <c r="J53" s="19"/>
    </row>
    <row r="54" spans="1:10" s="20" customFormat="1" x14ac:dyDescent="0.25">
      <c r="A54" s="27"/>
      <c r="I54" s="19"/>
      <c r="J54" s="19"/>
    </row>
    <row r="55" spans="1:10" s="20" customFormat="1" x14ac:dyDescent="0.25">
      <c r="A55" s="27"/>
      <c r="I55" s="19"/>
      <c r="J55" s="19"/>
    </row>
    <row r="56" spans="1:10" s="20" customFormat="1" x14ac:dyDescent="0.25">
      <c r="A56" s="27"/>
      <c r="I56" s="19"/>
      <c r="J56" s="19"/>
    </row>
    <row r="57" spans="1:10" s="20" customFormat="1" x14ac:dyDescent="0.25">
      <c r="A57" s="27"/>
      <c r="I57" s="19"/>
      <c r="J57" s="19"/>
    </row>
    <row r="58" spans="1:10" s="20" customFormat="1" x14ac:dyDescent="0.25">
      <c r="A58" s="27"/>
      <c r="I58" s="19"/>
      <c r="J58" s="19"/>
    </row>
    <row r="59" spans="1:10" s="20" customFormat="1" x14ac:dyDescent="0.25">
      <c r="A59" s="27"/>
      <c r="I59" s="19"/>
      <c r="J59" s="19"/>
    </row>
    <row r="60" spans="1:10" s="20" customFormat="1" x14ac:dyDescent="0.25">
      <c r="A60" s="27"/>
      <c r="I60" s="19"/>
      <c r="J60" s="19"/>
    </row>
    <row r="61" spans="1:10" s="20" customFormat="1" x14ac:dyDescent="0.25">
      <c r="A61" s="27"/>
      <c r="I61" s="19"/>
      <c r="J61" s="19"/>
    </row>
    <row r="62" spans="1:10" s="20" customFormat="1" x14ac:dyDescent="0.25">
      <c r="A62" s="27"/>
      <c r="I62" s="19"/>
      <c r="J62" s="19"/>
    </row>
    <row r="63" spans="1:10" s="20" customFormat="1" x14ac:dyDescent="0.25">
      <c r="A63" s="27"/>
      <c r="I63" s="19"/>
      <c r="J63" s="19"/>
    </row>
    <row r="64" spans="1:10" s="20" customFormat="1" x14ac:dyDescent="0.25">
      <c r="A64" s="27"/>
      <c r="I64" s="19"/>
      <c r="J64" s="19"/>
    </row>
    <row r="65" spans="1:10" s="20" customFormat="1" x14ac:dyDescent="0.25">
      <c r="A65" s="27"/>
      <c r="I65" s="19"/>
      <c r="J65" s="19"/>
    </row>
    <row r="66" spans="1:10" s="20" customFormat="1" x14ac:dyDescent="0.25">
      <c r="A66" s="27"/>
      <c r="I66" s="19"/>
      <c r="J66" s="19"/>
    </row>
    <row r="67" spans="1:10" s="20" customFormat="1" x14ac:dyDescent="0.25">
      <c r="A67" s="27"/>
      <c r="I67" s="19"/>
      <c r="J67" s="19"/>
    </row>
    <row r="68" spans="1:10" s="20" customFormat="1" x14ac:dyDescent="0.25">
      <c r="A68" s="27"/>
      <c r="I68" s="19"/>
      <c r="J68" s="19"/>
    </row>
    <row r="69" spans="1:10" s="20" customFormat="1" x14ac:dyDescent="0.25">
      <c r="A69" s="27"/>
      <c r="I69" s="19"/>
      <c r="J69" s="19"/>
    </row>
    <row r="70" spans="1:10" s="20" customFormat="1" x14ac:dyDescent="0.25">
      <c r="A70" s="27"/>
      <c r="I70" s="19"/>
      <c r="J70" s="19"/>
    </row>
    <row r="71" spans="1:10" s="20" customFormat="1" x14ac:dyDescent="0.25">
      <c r="A71" s="27"/>
      <c r="I71" s="19"/>
      <c r="J71" s="19"/>
    </row>
    <row r="72" spans="1:10" s="20" customFormat="1" x14ac:dyDescent="0.25">
      <c r="A72" s="27"/>
      <c r="I72" s="19"/>
      <c r="J72" s="19"/>
    </row>
    <row r="73" spans="1:10" s="20" customFormat="1" x14ac:dyDescent="0.25">
      <c r="A73" s="27"/>
      <c r="I73" s="19"/>
      <c r="J73" s="19"/>
    </row>
    <row r="74" spans="1:10" s="20" customFormat="1" x14ac:dyDescent="0.25">
      <c r="A74" s="27"/>
      <c r="I74" s="19"/>
      <c r="J74" s="19"/>
    </row>
    <row r="75" spans="1:10" s="20" customFormat="1" x14ac:dyDescent="0.25">
      <c r="A75" s="27"/>
      <c r="I75" s="19"/>
      <c r="J75" s="19"/>
    </row>
    <row r="76" spans="1:10" s="20" customFormat="1" x14ac:dyDescent="0.25">
      <c r="A76" s="27"/>
      <c r="I76" s="19"/>
      <c r="J76" s="19"/>
    </row>
    <row r="77" spans="1:10" s="20" customFormat="1" x14ac:dyDescent="0.25">
      <c r="A77" s="27"/>
      <c r="I77" s="19"/>
      <c r="J77" s="19"/>
    </row>
    <row r="78" spans="1:10" s="20" customFormat="1" x14ac:dyDescent="0.25">
      <c r="A78" s="27"/>
      <c r="I78" s="19"/>
      <c r="J78" s="19"/>
    </row>
    <row r="79" spans="1:10" s="20" customFormat="1" x14ac:dyDescent="0.25">
      <c r="A79" s="27"/>
      <c r="I79" s="19"/>
      <c r="J79" s="19"/>
    </row>
    <row r="80" spans="1:10" s="20" customFormat="1" x14ac:dyDescent="0.25">
      <c r="A80" s="27"/>
      <c r="I80" s="19"/>
      <c r="J80" s="19"/>
    </row>
    <row r="81" spans="1:10" s="20" customFormat="1" x14ac:dyDescent="0.25">
      <c r="A81" s="27"/>
      <c r="I81" s="19"/>
      <c r="J81" s="19"/>
    </row>
    <row r="82" spans="1:10" s="20" customFormat="1" x14ac:dyDescent="0.25">
      <c r="A82" s="27"/>
      <c r="I82" s="19"/>
      <c r="J82" s="19"/>
    </row>
    <row r="83" spans="1:10" s="20" customFormat="1" x14ac:dyDescent="0.25">
      <c r="A83" s="27"/>
      <c r="I83" s="19"/>
      <c r="J83" s="19"/>
    </row>
    <row r="84" spans="1:10" s="20" customFormat="1" x14ac:dyDescent="0.25">
      <c r="A84" s="27"/>
      <c r="I84" s="19"/>
      <c r="J84" s="19"/>
    </row>
    <row r="85" spans="1:10" s="20" customFormat="1" x14ac:dyDescent="0.25">
      <c r="A85" s="27"/>
      <c r="I85" s="19"/>
      <c r="J85" s="19"/>
    </row>
    <row r="86" spans="1:10" s="20" customFormat="1" x14ac:dyDescent="0.25">
      <c r="A86" s="27"/>
      <c r="I86" s="19"/>
      <c r="J86" s="19"/>
    </row>
    <row r="87" spans="1:10" s="20" customFormat="1" x14ac:dyDescent="0.25">
      <c r="A87" s="27"/>
      <c r="I87" s="19"/>
      <c r="J87" s="19"/>
    </row>
    <row r="88" spans="1:10" s="20" customFormat="1" x14ac:dyDescent="0.25">
      <c r="A88" s="27"/>
      <c r="I88" s="19"/>
      <c r="J88" s="19"/>
    </row>
    <row r="89" spans="1:10" s="20" customFormat="1" x14ac:dyDescent="0.25">
      <c r="A89" s="27"/>
      <c r="I89" s="19"/>
      <c r="J89" s="19"/>
    </row>
    <row r="90" spans="1:10" s="20" customFormat="1" x14ac:dyDescent="0.25">
      <c r="A90" s="27"/>
      <c r="I90" s="19"/>
      <c r="J90" s="19"/>
    </row>
    <row r="91" spans="1:10" s="20" customFormat="1" x14ac:dyDescent="0.25">
      <c r="A91" s="27"/>
      <c r="I91" s="19"/>
      <c r="J91" s="19"/>
    </row>
    <row r="92" spans="1:10" s="20" customFormat="1" x14ac:dyDescent="0.25">
      <c r="A92" s="27"/>
      <c r="I92" s="19"/>
      <c r="J92" s="19"/>
    </row>
    <row r="93" spans="1:10" s="20" customFormat="1" x14ac:dyDescent="0.25">
      <c r="A93" s="27"/>
      <c r="I93" s="19"/>
      <c r="J93" s="19"/>
    </row>
    <row r="94" spans="1:10" s="20" customFormat="1" x14ac:dyDescent="0.25">
      <c r="A94" s="27"/>
      <c r="I94" s="19"/>
      <c r="J94" s="19"/>
    </row>
    <row r="95" spans="1:10" s="20" customFormat="1" x14ac:dyDescent="0.25">
      <c r="A95" s="27"/>
      <c r="I95" s="19"/>
      <c r="J95" s="19"/>
    </row>
    <row r="96" spans="1:10" s="20" customFormat="1" x14ac:dyDescent="0.25">
      <c r="A96" s="27"/>
      <c r="I96" s="19"/>
      <c r="J96" s="19"/>
    </row>
    <row r="97" spans="1:10" s="20" customFormat="1" x14ac:dyDescent="0.25">
      <c r="A97" s="27"/>
      <c r="I97" s="19"/>
      <c r="J97" s="19"/>
    </row>
    <row r="98" spans="1:10" s="20" customFormat="1" x14ac:dyDescent="0.25">
      <c r="A98" s="27"/>
      <c r="I98" s="19"/>
      <c r="J98" s="19"/>
    </row>
    <row r="99" spans="1:10" s="20" customFormat="1" x14ac:dyDescent="0.25">
      <c r="A99" s="27"/>
      <c r="I99" s="19"/>
      <c r="J99" s="19"/>
    </row>
    <row r="100" spans="1:10" s="20" customFormat="1" x14ac:dyDescent="0.25">
      <c r="A100" s="27"/>
      <c r="I100" s="19"/>
      <c r="J100" s="19"/>
    </row>
    <row r="101" spans="1:10" s="20" customFormat="1" x14ac:dyDescent="0.25">
      <c r="A101" s="27"/>
      <c r="I101" s="19"/>
      <c r="J101" s="19"/>
    </row>
    <row r="102" spans="1:10" s="20" customFormat="1" x14ac:dyDescent="0.25">
      <c r="A102" s="27"/>
      <c r="I102" s="19"/>
      <c r="J102" s="19"/>
    </row>
    <row r="103" spans="1:10" s="20" customFormat="1" x14ac:dyDescent="0.25">
      <c r="A103" s="27"/>
      <c r="I103" s="19"/>
      <c r="J103" s="19"/>
    </row>
    <row r="104" spans="1:10" s="20" customFormat="1" x14ac:dyDescent="0.25">
      <c r="A104" s="27"/>
      <c r="I104" s="19"/>
      <c r="J104" s="19"/>
    </row>
    <row r="105" spans="1:10" s="20" customFormat="1" x14ac:dyDescent="0.25">
      <c r="A105" s="27"/>
      <c r="I105" s="19"/>
      <c r="J105" s="19"/>
    </row>
    <row r="106" spans="1:10" s="20" customFormat="1" x14ac:dyDescent="0.25">
      <c r="A106" s="27"/>
      <c r="I106" s="19"/>
      <c r="J106" s="19"/>
    </row>
    <row r="107" spans="1:10" s="20" customFormat="1" x14ac:dyDescent="0.25">
      <c r="A107" s="27"/>
      <c r="I107" s="19"/>
      <c r="J107" s="19"/>
    </row>
    <row r="108" spans="1:10" s="20" customFormat="1" x14ac:dyDescent="0.25">
      <c r="A108" s="27"/>
      <c r="I108" s="19"/>
      <c r="J108" s="19"/>
    </row>
    <row r="109" spans="1:10" s="20" customFormat="1" x14ac:dyDescent="0.25">
      <c r="A109" s="27"/>
      <c r="I109" s="19"/>
      <c r="J109" s="19"/>
    </row>
    <row r="110" spans="1:10" s="20" customFormat="1" x14ac:dyDescent="0.25">
      <c r="A110" s="27"/>
      <c r="I110" s="19"/>
      <c r="J110" s="19"/>
    </row>
    <row r="111" spans="1:10" s="20" customFormat="1" x14ac:dyDescent="0.25">
      <c r="A111" s="27"/>
      <c r="I111" s="19"/>
      <c r="J111" s="19"/>
    </row>
    <row r="112" spans="1:10" s="20" customFormat="1" x14ac:dyDescent="0.25">
      <c r="A112" s="27"/>
      <c r="I112" s="19"/>
      <c r="J112" s="19"/>
    </row>
    <row r="113" spans="1:10" s="20" customFormat="1" x14ac:dyDescent="0.25">
      <c r="A113" s="27"/>
      <c r="I113" s="19"/>
      <c r="J113" s="19"/>
    </row>
    <row r="114" spans="1:10" s="20" customFormat="1" x14ac:dyDescent="0.25">
      <c r="A114" s="27"/>
      <c r="I114" s="19"/>
      <c r="J114" s="19"/>
    </row>
    <row r="115" spans="1:10" s="20" customFormat="1" x14ac:dyDescent="0.25">
      <c r="A115" s="27"/>
      <c r="I115" s="19"/>
      <c r="J115" s="19"/>
    </row>
    <row r="116" spans="1:10" s="20" customFormat="1" x14ac:dyDescent="0.25">
      <c r="A116" s="27"/>
      <c r="I116" s="19"/>
      <c r="J116" s="19"/>
    </row>
    <row r="117" spans="1:10" s="20" customFormat="1" x14ac:dyDescent="0.25">
      <c r="A117" s="27"/>
      <c r="I117" s="19"/>
      <c r="J117" s="19"/>
    </row>
    <row r="118" spans="1:10" s="20" customFormat="1" x14ac:dyDescent="0.25">
      <c r="A118" s="27"/>
      <c r="I118" s="19"/>
      <c r="J118" s="19"/>
    </row>
    <row r="119" spans="1:10" s="20" customFormat="1" x14ac:dyDescent="0.25">
      <c r="A119" s="27"/>
      <c r="I119" s="19"/>
      <c r="J119" s="19"/>
    </row>
    <row r="120" spans="1:10" s="20" customFormat="1" x14ac:dyDescent="0.25">
      <c r="A120" s="27"/>
      <c r="I120" s="19"/>
      <c r="J120" s="19"/>
    </row>
    <row r="121" spans="1:10" s="20" customFormat="1" x14ac:dyDescent="0.25">
      <c r="A121" s="27"/>
      <c r="I121" s="19"/>
      <c r="J121" s="19"/>
    </row>
    <row r="122" spans="1:10" s="20" customFormat="1" x14ac:dyDescent="0.25">
      <c r="A122" s="27"/>
      <c r="I122" s="19"/>
      <c r="J122" s="19"/>
    </row>
    <row r="123" spans="1:10" s="20" customFormat="1" x14ac:dyDescent="0.25">
      <c r="A123" s="27"/>
      <c r="I123" s="19"/>
      <c r="J123" s="19"/>
    </row>
    <row r="124" spans="1:10" s="20" customFormat="1" x14ac:dyDescent="0.25">
      <c r="A124" s="27"/>
      <c r="I124" s="19"/>
      <c r="J124" s="19"/>
    </row>
    <row r="125" spans="1:10" s="20" customFormat="1" x14ac:dyDescent="0.25">
      <c r="A125" s="27"/>
      <c r="I125" s="19"/>
      <c r="J125" s="19"/>
    </row>
    <row r="126" spans="1:10" s="20" customFormat="1" x14ac:dyDescent="0.25">
      <c r="A126" s="27"/>
      <c r="I126" s="19"/>
      <c r="J126" s="19"/>
    </row>
    <row r="127" spans="1:10" s="20" customFormat="1" x14ac:dyDescent="0.25">
      <c r="A127" s="27"/>
      <c r="I127" s="19"/>
      <c r="J127" s="19"/>
    </row>
    <row r="128" spans="1:10" s="20" customFormat="1" x14ac:dyDescent="0.25">
      <c r="A128" s="27"/>
      <c r="I128" s="19"/>
      <c r="J128" s="19"/>
    </row>
    <row r="129" spans="1:10" s="20" customFormat="1" x14ac:dyDescent="0.25">
      <c r="A129" s="27"/>
      <c r="I129" s="19"/>
      <c r="J129" s="19"/>
    </row>
    <row r="130" spans="1:10" s="20" customFormat="1" x14ac:dyDescent="0.25">
      <c r="A130" s="27"/>
      <c r="I130" s="19"/>
      <c r="J130" s="19"/>
    </row>
    <row r="131" spans="1:10" s="20" customFormat="1" x14ac:dyDescent="0.25">
      <c r="A131" s="27"/>
      <c r="I131" s="19"/>
      <c r="J131" s="19"/>
    </row>
    <row r="132" spans="1:10" s="20" customFormat="1" x14ac:dyDescent="0.25">
      <c r="A132" s="27"/>
      <c r="I132" s="19"/>
      <c r="J132" s="19"/>
    </row>
    <row r="133" spans="1:10" s="20" customFormat="1" x14ac:dyDescent="0.25">
      <c r="A133" s="27"/>
      <c r="I133" s="19"/>
      <c r="J133" s="19"/>
    </row>
    <row r="134" spans="1:10" s="20" customFormat="1" x14ac:dyDescent="0.25">
      <c r="A134" s="27"/>
      <c r="I134" s="19"/>
      <c r="J134" s="19"/>
    </row>
    <row r="135" spans="1:10" s="20" customFormat="1" x14ac:dyDescent="0.25">
      <c r="A135" s="27"/>
      <c r="I135" s="19"/>
      <c r="J135" s="19"/>
    </row>
    <row r="136" spans="1:10" s="20" customFormat="1" x14ac:dyDescent="0.25">
      <c r="A136" s="27"/>
      <c r="I136" s="19"/>
      <c r="J136" s="19"/>
    </row>
    <row r="137" spans="1:10" s="20" customFormat="1" x14ac:dyDescent="0.25">
      <c r="A137" s="27"/>
      <c r="I137" s="19"/>
      <c r="J137" s="19"/>
    </row>
    <row r="138" spans="1:10" s="20" customFormat="1" x14ac:dyDescent="0.25">
      <c r="A138" s="27"/>
      <c r="I138" s="19"/>
      <c r="J138" s="19"/>
    </row>
    <row r="139" spans="1:10" s="20" customFormat="1" x14ac:dyDescent="0.25">
      <c r="A139" s="27"/>
      <c r="I139" s="19"/>
      <c r="J139" s="19"/>
    </row>
    <row r="140" spans="1:10" s="20" customFormat="1" x14ac:dyDescent="0.25">
      <c r="A140" s="27"/>
      <c r="I140" s="19"/>
      <c r="J140" s="19"/>
    </row>
    <row r="141" spans="1:10" s="20" customFormat="1" x14ac:dyDescent="0.25">
      <c r="A141" s="27"/>
      <c r="I141" s="19"/>
      <c r="J141" s="19"/>
    </row>
    <row r="142" spans="1:10" s="20" customFormat="1" x14ac:dyDescent="0.25">
      <c r="A142" s="27"/>
      <c r="I142" s="19"/>
      <c r="J142" s="19"/>
    </row>
    <row r="143" spans="1:10" s="20" customFormat="1" x14ac:dyDescent="0.25">
      <c r="A143" s="27"/>
      <c r="I143" s="19"/>
      <c r="J143" s="19"/>
    </row>
    <row r="144" spans="1:10" s="20" customFormat="1" x14ac:dyDescent="0.25">
      <c r="A144" s="27"/>
      <c r="I144" s="19"/>
      <c r="J144" s="19"/>
    </row>
    <row r="145" spans="1:10" s="20" customFormat="1" x14ac:dyDescent="0.25">
      <c r="A145" s="27"/>
      <c r="I145" s="19"/>
      <c r="J145" s="19"/>
    </row>
    <row r="146" spans="1:10" s="20" customFormat="1" x14ac:dyDescent="0.25">
      <c r="A146" s="27"/>
      <c r="I146" s="19"/>
      <c r="J146" s="19"/>
    </row>
    <row r="147" spans="1:10" s="20" customFormat="1" x14ac:dyDescent="0.25">
      <c r="A147" s="27"/>
      <c r="I147" s="19"/>
      <c r="J147" s="19"/>
    </row>
    <row r="148" spans="1:10" s="20" customFormat="1" x14ac:dyDescent="0.25">
      <c r="A148" s="27"/>
      <c r="I148" s="19"/>
      <c r="J148" s="19"/>
    </row>
    <row r="149" spans="1:10" s="20" customFormat="1" x14ac:dyDescent="0.25">
      <c r="A149" s="27"/>
      <c r="I149" s="19"/>
      <c r="J149" s="19"/>
    </row>
    <row r="150" spans="1:10" s="20" customFormat="1" x14ac:dyDescent="0.25">
      <c r="A150" s="27"/>
      <c r="I150" s="19"/>
      <c r="J150" s="19"/>
    </row>
    <row r="151" spans="1:10" s="20" customFormat="1" x14ac:dyDescent="0.25">
      <c r="A151" s="27"/>
      <c r="I151" s="19"/>
      <c r="J151" s="19"/>
    </row>
    <row r="152" spans="1:10" s="20" customFormat="1" x14ac:dyDescent="0.25">
      <c r="A152" s="27"/>
      <c r="I152" s="19"/>
      <c r="J152" s="19"/>
    </row>
    <row r="153" spans="1:10" s="20" customFormat="1" x14ac:dyDescent="0.25">
      <c r="A153" s="27"/>
      <c r="I153" s="19"/>
      <c r="J153" s="19"/>
    </row>
    <row r="154" spans="1:10" s="20" customFormat="1" x14ac:dyDescent="0.25">
      <c r="A154" s="27"/>
      <c r="I154" s="19"/>
      <c r="J154" s="19"/>
    </row>
    <row r="155" spans="1:10" s="20" customFormat="1" x14ac:dyDescent="0.25">
      <c r="A155" s="27"/>
      <c r="I155" s="19"/>
      <c r="J155" s="19"/>
    </row>
    <row r="156" spans="1:10" s="20" customFormat="1" x14ac:dyDescent="0.25">
      <c r="A156" s="27"/>
      <c r="I156" s="19"/>
      <c r="J156" s="19"/>
    </row>
    <row r="157" spans="1:10" s="20" customFormat="1" x14ac:dyDescent="0.25">
      <c r="A157" s="27"/>
      <c r="I157" s="19"/>
      <c r="J157" s="19"/>
    </row>
    <row r="158" spans="1:10" s="20" customFormat="1" x14ac:dyDescent="0.25">
      <c r="A158" s="27"/>
      <c r="I158" s="19"/>
      <c r="J158" s="19"/>
    </row>
    <row r="159" spans="1:10" s="20" customFormat="1" x14ac:dyDescent="0.25">
      <c r="A159" s="27"/>
      <c r="I159" s="19"/>
      <c r="J159" s="19"/>
    </row>
    <row r="160" spans="1:10" s="20" customFormat="1" x14ac:dyDescent="0.25">
      <c r="A160" s="27"/>
      <c r="I160" s="19"/>
      <c r="J160" s="19"/>
    </row>
    <row r="161" spans="1:10" s="20" customFormat="1" x14ac:dyDescent="0.25">
      <c r="A161" s="27"/>
      <c r="I161" s="19"/>
      <c r="J161" s="19"/>
    </row>
    <row r="162" spans="1:10" s="20" customFormat="1" x14ac:dyDescent="0.25">
      <c r="A162" s="27"/>
      <c r="I162" s="19"/>
      <c r="J162" s="19"/>
    </row>
    <row r="163" spans="1:10" s="20" customFormat="1" x14ac:dyDescent="0.25">
      <c r="A163" s="27"/>
      <c r="I163" s="19"/>
      <c r="J163" s="19"/>
    </row>
    <row r="164" spans="1:10" s="20" customFormat="1" x14ac:dyDescent="0.25">
      <c r="A164" s="27"/>
      <c r="I164" s="19"/>
      <c r="J164" s="19"/>
    </row>
    <row r="165" spans="1:10" s="20" customFormat="1" x14ac:dyDescent="0.25">
      <c r="A165" s="27"/>
      <c r="I165" s="19"/>
      <c r="J165" s="19"/>
    </row>
    <row r="166" spans="1:10" s="20" customFormat="1" x14ac:dyDescent="0.25">
      <c r="A166" s="27"/>
      <c r="I166" s="19"/>
      <c r="J166" s="19"/>
    </row>
    <row r="167" spans="1:10" s="20" customFormat="1" x14ac:dyDescent="0.25">
      <c r="A167" s="27"/>
      <c r="I167" s="19"/>
      <c r="J167" s="19"/>
    </row>
    <row r="168" spans="1:10" s="20" customFormat="1" x14ac:dyDescent="0.25">
      <c r="A168" s="27"/>
      <c r="I168" s="19"/>
      <c r="J168" s="19"/>
    </row>
    <row r="169" spans="1:10" s="20" customFormat="1" x14ac:dyDescent="0.25">
      <c r="A169" s="27"/>
      <c r="I169" s="19"/>
      <c r="J169" s="19"/>
    </row>
    <row r="170" spans="1:10" s="20" customFormat="1" x14ac:dyDescent="0.25">
      <c r="A170" s="27"/>
      <c r="I170" s="19"/>
      <c r="J170" s="19"/>
    </row>
    <row r="171" spans="1:10" s="20" customFormat="1" x14ac:dyDescent="0.25">
      <c r="A171" s="27"/>
      <c r="I171" s="19"/>
      <c r="J171" s="19"/>
    </row>
    <row r="172" spans="1:10" s="20" customFormat="1" x14ac:dyDescent="0.25">
      <c r="A172" s="27"/>
      <c r="I172" s="19"/>
      <c r="J172" s="19"/>
    </row>
    <row r="173" spans="1:10" s="20" customFormat="1" x14ac:dyDescent="0.25">
      <c r="A173" s="27"/>
      <c r="I173" s="19"/>
      <c r="J173" s="19"/>
    </row>
    <row r="174" spans="1:10" s="20" customFormat="1" x14ac:dyDescent="0.25">
      <c r="A174" s="27"/>
      <c r="I174" s="19"/>
      <c r="J174" s="19"/>
    </row>
    <row r="175" spans="1:10" s="20" customFormat="1" x14ac:dyDescent="0.25">
      <c r="A175" s="27"/>
      <c r="I175" s="19"/>
      <c r="J175" s="19"/>
    </row>
    <row r="176" spans="1:10" s="20" customFormat="1" x14ac:dyDescent="0.25">
      <c r="A176" s="27"/>
      <c r="I176" s="19"/>
      <c r="J176" s="19"/>
    </row>
    <row r="177" spans="1:10" s="20" customFormat="1" x14ac:dyDescent="0.25">
      <c r="A177" s="27"/>
      <c r="I177" s="19"/>
      <c r="J177" s="19"/>
    </row>
    <row r="178" spans="1:10" s="20" customFormat="1" x14ac:dyDescent="0.25">
      <c r="A178" s="27"/>
      <c r="I178" s="19"/>
      <c r="J178" s="19"/>
    </row>
    <row r="179" spans="1:10" s="20" customFormat="1" x14ac:dyDescent="0.25">
      <c r="A179" s="27"/>
      <c r="I179" s="19"/>
      <c r="J179" s="19"/>
    </row>
    <row r="180" spans="1:10" s="20" customFormat="1" x14ac:dyDescent="0.25">
      <c r="A180" s="27"/>
      <c r="I180" s="19"/>
      <c r="J180" s="19"/>
    </row>
    <row r="181" spans="1:10" s="20" customFormat="1" x14ac:dyDescent="0.25">
      <c r="A181" s="27"/>
      <c r="I181" s="19"/>
      <c r="J181" s="19"/>
    </row>
    <row r="182" spans="1:10" s="20" customFormat="1" x14ac:dyDescent="0.25">
      <c r="A182" s="27"/>
      <c r="I182" s="19"/>
      <c r="J182" s="19"/>
    </row>
    <row r="183" spans="1:10" s="20" customFormat="1" x14ac:dyDescent="0.25">
      <c r="A183" s="27"/>
      <c r="I183" s="19"/>
      <c r="J183" s="19"/>
    </row>
    <row r="184" spans="1:10" s="20" customFormat="1" x14ac:dyDescent="0.25">
      <c r="A184" s="27"/>
      <c r="I184" s="19"/>
      <c r="J184" s="19"/>
    </row>
    <row r="185" spans="1:10" s="20" customFormat="1" x14ac:dyDescent="0.25">
      <c r="A185" s="27"/>
      <c r="I185" s="19"/>
      <c r="J185" s="19"/>
    </row>
    <row r="186" spans="1:10" s="20" customFormat="1" x14ac:dyDescent="0.25">
      <c r="A186" s="27"/>
      <c r="I186" s="19"/>
      <c r="J186" s="19"/>
    </row>
    <row r="187" spans="1:10" s="20" customFormat="1" x14ac:dyDescent="0.25">
      <c r="A187" s="27"/>
      <c r="I187" s="19"/>
      <c r="J187" s="19"/>
    </row>
    <row r="188" spans="1:10" s="20" customFormat="1" x14ac:dyDescent="0.25">
      <c r="A188" s="27"/>
      <c r="I188" s="19"/>
      <c r="J188" s="19"/>
    </row>
    <row r="189" spans="1:10" s="20" customFormat="1" x14ac:dyDescent="0.25">
      <c r="A189" s="27"/>
      <c r="I189" s="19"/>
      <c r="J189" s="19"/>
    </row>
    <row r="190" spans="1:10" s="20" customFormat="1" x14ac:dyDescent="0.25">
      <c r="A190" s="27"/>
      <c r="I190" s="19"/>
      <c r="J190" s="19"/>
    </row>
    <row r="191" spans="1:10" s="20" customFormat="1" x14ac:dyDescent="0.25">
      <c r="A191" s="27"/>
      <c r="I191" s="19"/>
      <c r="J191" s="19"/>
    </row>
    <row r="192" spans="1:10" s="20" customFormat="1" x14ac:dyDescent="0.25">
      <c r="A192" s="27"/>
      <c r="I192" s="19"/>
      <c r="J192" s="19"/>
    </row>
    <row r="193" spans="1:10" s="20" customFormat="1" x14ac:dyDescent="0.25">
      <c r="A193" s="27"/>
      <c r="I193" s="19"/>
      <c r="J193" s="19"/>
    </row>
    <row r="194" spans="1:10" s="20" customFormat="1" x14ac:dyDescent="0.25">
      <c r="A194" s="27"/>
      <c r="I194" s="19"/>
      <c r="J194" s="19"/>
    </row>
    <row r="195" spans="1:10" s="20" customFormat="1" x14ac:dyDescent="0.25">
      <c r="A195" s="27"/>
      <c r="I195" s="19"/>
      <c r="J195" s="19"/>
    </row>
    <row r="196" spans="1:10" s="20" customFormat="1" x14ac:dyDescent="0.25">
      <c r="A196" s="27"/>
      <c r="I196" s="19"/>
      <c r="J196" s="19"/>
    </row>
    <row r="197" spans="1:10" s="20" customFormat="1" x14ac:dyDescent="0.25">
      <c r="A197" s="27"/>
      <c r="I197" s="19"/>
      <c r="J197" s="19"/>
    </row>
  </sheetData>
  <mergeCells count="15">
    <mergeCell ref="A3:H3"/>
    <mergeCell ref="I3:I26"/>
    <mergeCell ref="A4:A5"/>
    <mergeCell ref="B4:B5"/>
    <mergeCell ref="C4:D4"/>
    <mergeCell ref="E4:H4"/>
    <mergeCell ref="A7:H7"/>
    <mergeCell ref="A20:H20"/>
    <mergeCell ref="F27:H27"/>
    <mergeCell ref="F28:H28"/>
    <mergeCell ref="I29:I53"/>
    <mergeCell ref="C46:D46"/>
    <mergeCell ref="F46:H46"/>
    <mergeCell ref="C47:D47"/>
    <mergeCell ref="F47:H47"/>
  </mergeCells>
  <pageMargins left="0.70866141732283472" right="0.11811023622047245" top="0.74803149606299213" bottom="0" header="0.31496062992125984" footer="0.31496062992125984"/>
  <pageSetup paperSize="9" scale="4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zoomScale="78" zoomScaleNormal="78" zoomScaleSheetLayoutView="93" workbookViewId="0">
      <selection activeCell="D69" sqref="D69"/>
    </sheetView>
  </sheetViews>
  <sheetFormatPr defaultRowHeight="18.75" outlineLevelRow="1" x14ac:dyDescent="0.25"/>
  <cols>
    <col min="1" max="1" width="87.140625" style="79" customWidth="1"/>
    <col min="2" max="2" width="13.5703125" style="79" customWidth="1"/>
    <col min="3" max="3" width="15.85546875" style="79" customWidth="1"/>
    <col min="4" max="4" width="17.140625" style="79" customWidth="1"/>
    <col min="5" max="5" width="15.7109375" style="79" customWidth="1"/>
    <col min="6" max="6" width="15.5703125" style="79" customWidth="1"/>
    <col min="7" max="7" width="16.42578125" style="79" customWidth="1"/>
    <col min="8" max="8" width="15.7109375" style="79" customWidth="1"/>
    <col min="9" max="9" width="9.140625" style="166"/>
    <col min="10" max="11" width="0" style="79" hidden="1" customWidth="1"/>
    <col min="12" max="255" width="9.140625" style="79"/>
    <col min="256" max="256" width="88" style="79" customWidth="1"/>
    <col min="257" max="257" width="15" style="79" customWidth="1"/>
    <col min="258" max="258" width="20.42578125" style="79" customWidth="1"/>
    <col min="259" max="259" width="18.7109375" style="79" customWidth="1"/>
    <col min="260" max="262" width="20.42578125" style="79" customWidth="1"/>
    <col min="263" max="263" width="18.42578125" style="79" customWidth="1"/>
    <col min="264" max="511" width="9.140625" style="79"/>
    <col min="512" max="512" width="88" style="79" customWidth="1"/>
    <col min="513" max="513" width="15" style="79" customWidth="1"/>
    <col min="514" max="514" width="20.42578125" style="79" customWidth="1"/>
    <col min="515" max="515" width="18.7109375" style="79" customWidth="1"/>
    <col min="516" max="518" width="20.42578125" style="79" customWidth="1"/>
    <col min="519" max="519" width="18.42578125" style="79" customWidth="1"/>
    <col min="520" max="767" width="9.140625" style="79"/>
    <col min="768" max="768" width="88" style="79" customWidth="1"/>
    <col min="769" max="769" width="15" style="79" customWidth="1"/>
    <col min="770" max="770" width="20.42578125" style="79" customWidth="1"/>
    <col min="771" max="771" width="18.7109375" style="79" customWidth="1"/>
    <col min="772" max="774" width="20.42578125" style="79" customWidth="1"/>
    <col min="775" max="775" width="18.42578125" style="79" customWidth="1"/>
    <col min="776" max="1023" width="9.140625" style="79"/>
    <col min="1024" max="1024" width="88" style="79" customWidth="1"/>
    <col min="1025" max="1025" width="15" style="79" customWidth="1"/>
    <col min="1026" max="1026" width="20.42578125" style="79" customWidth="1"/>
    <col min="1027" max="1027" width="18.7109375" style="79" customWidth="1"/>
    <col min="1028" max="1030" width="20.42578125" style="79" customWidth="1"/>
    <col min="1031" max="1031" width="18.42578125" style="79" customWidth="1"/>
    <col min="1032" max="1279" width="9.140625" style="79"/>
    <col min="1280" max="1280" width="88" style="79" customWidth="1"/>
    <col min="1281" max="1281" width="15" style="79" customWidth="1"/>
    <col min="1282" max="1282" width="20.42578125" style="79" customWidth="1"/>
    <col min="1283" max="1283" width="18.7109375" style="79" customWidth="1"/>
    <col min="1284" max="1286" width="20.42578125" style="79" customWidth="1"/>
    <col min="1287" max="1287" width="18.42578125" style="79" customWidth="1"/>
    <col min="1288" max="1535" width="9.140625" style="79"/>
    <col min="1536" max="1536" width="88" style="79" customWidth="1"/>
    <col min="1537" max="1537" width="15" style="79" customWidth="1"/>
    <col min="1538" max="1538" width="20.42578125" style="79" customWidth="1"/>
    <col min="1539" max="1539" width="18.7109375" style="79" customWidth="1"/>
    <col min="1540" max="1542" width="20.42578125" style="79" customWidth="1"/>
    <col min="1543" max="1543" width="18.42578125" style="79" customWidth="1"/>
    <col min="1544" max="1791" width="9.140625" style="79"/>
    <col min="1792" max="1792" width="88" style="79" customWidth="1"/>
    <col min="1793" max="1793" width="15" style="79" customWidth="1"/>
    <col min="1794" max="1794" width="20.42578125" style="79" customWidth="1"/>
    <col min="1795" max="1795" width="18.7109375" style="79" customWidth="1"/>
    <col min="1796" max="1798" width="20.42578125" style="79" customWidth="1"/>
    <col min="1799" max="1799" width="18.42578125" style="79" customWidth="1"/>
    <col min="1800" max="2047" width="9.140625" style="79"/>
    <col min="2048" max="2048" width="88" style="79" customWidth="1"/>
    <col min="2049" max="2049" width="15" style="79" customWidth="1"/>
    <col min="2050" max="2050" width="20.42578125" style="79" customWidth="1"/>
    <col min="2051" max="2051" width="18.7109375" style="79" customWidth="1"/>
    <col min="2052" max="2054" width="20.42578125" style="79" customWidth="1"/>
    <col min="2055" max="2055" width="18.42578125" style="79" customWidth="1"/>
    <col min="2056" max="2303" width="9.140625" style="79"/>
    <col min="2304" max="2304" width="88" style="79" customWidth="1"/>
    <col min="2305" max="2305" width="15" style="79" customWidth="1"/>
    <col min="2306" max="2306" width="20.42578125" style="79" customWidth="1"/>
    <col min="2307" max="2307" width="18.7109375" style="79" customWidth="1"/>
    <col min="2308" max="2310" width="20.42578125" style="79" customWidth="1"/>
    <col min="2311" max="2311" width="18.42578125" style="79" customWidth="1"/>
    <col min="2312" max="2559" width="9.140625" style="79"/>
    <col min="2560" max="2560" width="88" style="79" customWidth="1"/>
    <col min="2561" max="2561" width="15" style="79" customWidth="1"/>
    <col min="2562" max="2562" width="20.42578125" style="79" customWidth="1"/>
    <col min="2563" max="2563" width="18.7109375" style="79" customWidth="1"/>
    <col min="2564" max="2566" width="20.42578125" style="79" customWidth="1"/>
    <col min="2567" max="2567" width="18.42578125" style="79" customWidth="1"/>
    <col min="2568" max="2815" width="9.140625" style="79"/>
    <col min="2816" max="2816" width="88" style="79" customWidth="1"/>
    <col min="2817" max="2817" width="15" style="79" customWidth="1"/>
    <col min="2818" max="2818" width="20.42578125" style="79" customWidth="1"/>
    <col min="2819" max="2819" width="18.7109375" style="79" customWidth="1"/>
    <col min="2820" max="2822" width="20.42578125" style="79" customWidth="1"/>
    <col min="2823" max="2823" width="18.42578125" style="79" customWidth="1"/>
    <col min="2824" max="3071" width="9.140625" style="79"/>
    <col min="3072" max="3072" width="88" style="79" customWidth="1"/>
    <col min="3073" max="3073" width="15" style="79" customWidth="1"/>
    <col min="3074" max="3074" width="20.42578125" style="79" customWidth="1"/>
    <col min="3075" max="3075" width="18.7109375" style="79" customWidth="1"/>
    <col min="3076" max="3078" width="20.42578125" style="79" customWidth="1"/>
    <col min="3079" max="3079" width="18.42578125" style="79" customWidth="1"/>
    <col min="3080" max="3327" width="9.140625" style="79"/>
    <col min="3328" max="3328" width="88" style="79" customWidth="1"/>
    <col min="3329" max="3329" width="15" style="79" customWidth="1"/>
    <col min="3330" max="3330" width="20.42578125" style="79" customWidth="1"/>
    <col min="3331" max="3331" width="18.7109375" style="79" customWidth="1"/>
    <col min="3332" max="3334" width="20.42578125" style="79" customWidth="1"/>
    <col min="3335" max="3335" width="18.42578125" style="79" customWidth="1"/>
    <col min="3336" max="3583" width="9.140625" style="79"/>
    <col min="3584" max="3584" width="88" style="79" customWidth="1"/>
    <col min="3585" max="3585" width="15" style="79" customWidth="1"/>
    <col min="3586" max="3586" width="20.42578125" style="79" customWidth="1"/>
    <col min="3587" max="3587" width="18.7109375" style="79" customWidth="1"/>
    <col min="3588" max="3590" width="20.42578125" style="79" customWidth="1"/>
    <col min="3591" max="3591" width="18.42578125" style="79" customWidth="1"/>
    <col min="3592" max="3839" width="9.140625" style="79"/>
    <col min="3840" max="3840" width="88" style="79" customWidth="1"/>
    <col min="3841" max="3841" width="15" style="79" customWidth="1"/>
    <col min="3842" max="3842" width="20.42578125" style="79" customWidth="1"/>
    <col min="3843" max="3843" width="18.7109375" style="79" customWidth="1"/>
    <col min="3844" max="3846" width="20.42578125" style="79" customWidth="1"/>
    <col min="3847" max="3847" width="18.42578125" style="79" customWidth="1"/>
    <col min="3848" max="4095" width="9.140625" style="79"/>
    <col min="4096" max="4096" width="88" style="79" customWidth="1"/>
    <col min="4097" max="4097" width="15" style="79" customWidth="1"/>
    <col min="4098" max="4098" width="20.42578125" style="79" customWidth="1"/>
    <col min="4099" max="4099" width="18.7109375" style="79" customWidth="1"/>
    <col min="4100" max="4102" width="20.42578125" style="79" customWidth="1"/>
    <col min="4103" max="4103" width="18.42578125" style="79" customWidth="1"/>
    <col min="4104" max="4351" width="9.140625" style="79"/>
    <col min="4352" max="4352" width="88" style="79" customWidth="1"/>
    <col min="4353" max="4353" width="15" style="79" customWidth="1"/>
    <col min="4354" max="4354" width="20.42578125" style="79" customWidth="1"/>
    <col min="4355" max="4355" width="18.7109375" style="79" customWidth="1"/>
    <col min="4356" max="4358" width="20.42578125" style="79" customWidth="1"/>
    <col min="4359" max="4359" width="18.42578125" style="79" customWidth="1"/>
    <col min="4360" max="4607" width="9.140625" style="79"/>
    <col min="4608" max="4608" width="88" style="79" customWidth="1"/>
    <col min="4609" max="4609" width="15" style="79" customWidth="1"/>
    <col min="4610" max="4610" width="20.42578125" style="79" customWidth="1"/>
    <col min="4611" max="4611" width="18.7109375" style="79" customWidth="1"/>
    <col min="4612" max="4614" width="20.42578125" style="79" customWidth="1"/>
    <col min="4615" max="4615" width="18.42578125" style="79" customWidth="1"/>
    <col min="4616" max="4863" width="9.140625" style="79"/>
    <col min="4864" max="4864" width="88" style="79" customWidth="1"/>
    <col min="4865" max="4865" width="15" style="79" customWidth="1"/>
    <col min="4866" max="4866" width="20.42578125" style="79" customWidth="1"/>
    <col min="4867" max="4867" width="18.7109375" style="79" customWidth="1"/>
    <col min="4868" max="4870" width="20.42578125" style="79" customWidth="1"/>
    <col min="4871" max="4871" width="18.42578125" style="79" customWidth="1"/>
    <col min="4872" max="5119" width="9.140625" style="79"/>
    <col min="5120" max="5120" width="88" style="79" customWidth="1"/>
    <col min="5121" max="5121" width="15" style="79" customWidth="1"/>
    <col min="5122" max="5122" width="20.42578125" style="79" customWidth="1"/>
    <col min="5123" max="5123" width="18.7109375" style="79" customWidth="1"/>
    <col min="5124" max="5126" width="20.42578125" style="79" customWidth="1"/>
    <col min="5127" max="5127" width="18.42578125" style="79" customWidth="1"/>
    <col min="5128" max="5375" width="9.140625" style="79"/>
    <col min="5376" max="5376" width="88" style="79" customWidth="1"/>
    <col min="5377" max="5377" width="15" style="79" customWidth="1"/>
    <col min="5378" max="5378" width="20.42578125" style="79" customWidth="1"/>
    <col min="5379" max="5379" width="18.7109375" style="79" customWidth="1"/>
    <col min="5380" max="5382" width="20.42578125" style="79" customWidth="1"/>
    <col min="5383" max="5383" width="18.42578125" style="79" customWidth="1"/>
    <col min="5384" max="5631" width="9.140625" style="79"/>
    <col min="5632" max="5632" width="88" style="79" customWidth="1"/>
    <col min="5633" max="5633" width="15" style="79" customWidth="1"/>
    <col min="5634" max="5634" width="20.42578125" style="79" customWidth="1"/>
    <col min="5635" max="5635" width="18.7109375" style="79" customWidth="1"/>
    <col min="5636" max="5638" width="20.42578125" style="79" customWidth="1"/>
    <col min="5639" max="5639" width="18.42578125" style="79" customWidth="1"/>
    <col min="5640" max="5887" width="9.140625" style="79"/>
    <col min="5888" max="5888" width="88" style="79" customWidth="1"/>
    <col min="5889" max="5889" width="15" style="79" customWidth="1"/>
    <col min="5890" max="5890" width="20.42578125" style="79" customWidth="1"/>
    <col min="5891" max="5891" width="18.7109375" style="79" customWidth="1"/>
    <col min="5892" max="5894" width="20.42578125" style="79" customWidth="1"/>
    <col min="5895" max="5895" width="18.42578125" style="79" customWidth="1"/>
    <col min="5896" max="6143" width="9.140625" style="79"/>
    <col min="6144" max="6144" width="88" style="79" customWidth="1"/>
    <col min="6145" max="6145" width="15" style="79" customWidth="1"/>
    <col min="6146" max="6146" width="20.42578125" style="79" customWidth="1"/>
    <col min="6147" max="6147" width="18.7109375" style="79" customWidth="1"/>
    <col min="6148" max="6150" width="20.42578125" style="79" customWidth="1"/>
    <col min="6151" max="6151" width="18.42578125" style="79" customWidth="1"/>
    <col min="6152" max="6399" width="9.140625" style="79"/>
    <col min="6400" max="6400" width="88" style="79" customWidth="1"/>
    <col min="6401" max="6401" width="15" style="79" customWidth="1"/>
    <col min="6402" max="6402" width="20.42578125" style="79" customWidth="1"/>
    <col min="6403" max="6403" width="18.7109375" style="79" customWidth="1"/>
    <col min="6404" max="6406" width="20.42578125" style="79" customWidth="1"/>
    <col min="6407" max="6407" width="18.42578125" style="79" customWidth="1"/>
    <col min="6408" max="6655" width="9.140625" style="79"/>
    <col min="6656" max="6656" width="88" style="79" customWidth="1"/>
    <col min="6657" max="6657" width="15" style="79" customWidth="1"/>
    <col min="6658" max="6658" width="20.42578125" style="79" customWidth="1"/>
    <col min="6659" max="6659" width="18.7109375" style="79" customWidth="1"/>
    <col min="6660" max="6662" width="20.42578125" style="79" customWidth="1"/>
    <col min="6663" max="6663" width="18.42578125" style="79" customWidth="1"/>
    <col min="6664" max="6911" width="9.140625" style="79"/>
    <col min="6912" max="6912" width="88" style="79" customWidth="1"/>
    <col min="6913" max="6913" width="15" style="79" customWidth="1"/>
    <col min="6914" max="6914" width="20.42578125" style="79" customWidth="1"/>
    <col min="6915" max="6915" width="18.7109375" style="79" customWidth="1"/>
    <col min="6916" max="6918" width="20.42578125" style="79" customWidth="1"/>
    <col min="6919" max="6919" width="18.42578125" style="79" customWidth="1"/>
    <col min="6920" max="7167" width="9.140625" style="79"/>
    <col min="7168" max="7168" width="88" style="79" customWidth="1"/>
    <col min="7169" max="7169" width="15" style="79" customWidth="1"/>
    <col min="7170" max="7170" width="20.42578125" style="79" customWidth="1"/>
    <col min="7171" max="7171" width="18.7109375" style="79" customWidth="1"/>
    <col min="7172" max="7174" width="20.42578125" style="79" customWidth="1"/>
    <col min="7175" max="7175" width="18.42578125" style="79" customWidth="1"/>
    <col min="7176" max="7423" width="9.140625" style="79"/>
    <col min="7424" max="7424" width="88" style="79" customWidth="1"/>
    <col min="7425" max="7425" width="15" style="79" customWidth="1"/>
    <col min="7426" max="7426" width="20.42578125" style="79" customWidth="1"/>
    <col min="7427" max="7427" width="18.7109375" style="79" customWidth="1"/>
    <col min="7428" max="7430" width="20.42578125" style="79" customWidth="1"/>
    <col min="7431" max="7431" width="18.42578125" style="79" customWidth="1"/>
    <col min="7432" max="7679" width="9.140625" style="79"/>
    <col min="7680" max="7680" width="88" style="79" customWidth="1"/>
    <col min="7681" max="7681" width="15" style="79" customWidth="1"/>
    <col min="7682" max="7682" width="20.42578125" style="79" customWidth="1"/>
    <col min="7683" max="7683" width="18.7109375" style="79" customWidth="1"/>
    <col min="7684" max="7686" width="20.42578125" style="79" customWidth="1"/>
    <col min="7687" max="7687" width="18.42578125" style="79" customWidth="1"/>
    <col min="7688" max="7935" width="9.140625" style="79"/>
    <col min="7936" max="7936" width="88" style="79" customWidth="1"/>
    <col min="7937" max="7937" width="15" style="79" customWidth="1"/>
    <col min="7938" max="7938" width="20.42578125" style="79" customWidth="1"/>
    <col min="7939" max="7939" width="18.7109375" style="79" customWidth="1"/>
    <col min="7940" max="7942" width="20.42578125" style="79" customWidth="1"/>
    <col min="7943" max="7943" width="18.42578125" style="79" customWidth="1"/>
    <col min="7944" max="8191" width="9.140625" style="79"/>
    <col min="8192" max="8192" width="88" style="79" customWidth="1"/>
    <col min="8193" max="8193" width="15" style="79" customWidth="1"/>
    <col min="8194" max="8194" width="20.42578125" style="79" customWidth="1"/>
    <col min="8195" max="8195" width="18.7109375" style="79" customWidth="1"/>
    <col min="8196" max="8198" width="20.42578125" style="79" customWidth="1"/>
    <col min="8199" max="8199" width="18.42578125" style="79" customWidth="1"/>
    <col min="8200" max="8447" width="9.140625" style="79"/>
    <col min="8448" max="8448" width="88" style="79" customWidth="1"/>
    <col min="8449" max="8449" width="15" style="79" customWidth="1"/>
    <col min="8450" max="8450" width="20.42578125" style="79" customWidth="1"/>
    <col min="8451" max="8451" width="18.7109375" style="79" customWidth="1"/>
    <col min="8452" max="8454" width="20.42578125" style="79" customWidth="1"/>
    <col min="8455" max="8455" width="18.42578125" style="79" customWidth="1"/>
    <col min="8456" max="8703" width="9.140625" style="79"/>
    <col min="8704" max="8704" width="88" style="79" customWidth="1"/>
    <col min="8705" max="8705" width="15" style="79" customWidth="1"/>
    <col min="8706" max="8706" width="20.42578125" style="79" customWidth="1"/>
    <col min="8707" max="8707" width="18.7109375" style="79" customWidth="1"/>
    <col min="8708" max="8710" width="20.42578125" style="79" customWidth="1"/>
    <col min="8711" max="8711" width="18.42578125" style="79" customWidth="1"/>
    <col min="8712" max="8959" width="9.140625" style="79"/>
    <col min="8960" max="8960" width="88" style="79" customWidth="1"/>
    <col min="8961" max="8961" width="15" style="79" customWidth="1"/>
    <col min="8962" max="8962" width="20.42578125" style="79" customWidth="1"/>
    <col min="8963" max="8963" width="18.7109375" style="79" customWidth="1"/>
    <col min="8964" max="8966" width="20.42578125" style="79" customWidth="1"/>
    <col min="8967" max="8967" width="18.42578125" style="79" customWidth="1"/>
    <col min="8968" max="9215" width="9.140625" style="79"/>
    <col min="9216" max="9216" width="88" style="79" customWidth="1"/>
    <col min="9217" max="9217" width="15" style="79" customWidth="1"/>
    <col min="9218" max="9218" width="20.42578125" style="79" customWidth="1"/>
    <col min="9219" max="9219" width="18.7109375" style="79" customWidth="1"/>
    <col min="9220" max="9222" width="20.42578125" style="79" customWidth="1"/>
    <col min="9223" max="9223" width="18.42578125" style="79" customWidth="1"/>
    <col min="9224" max="9471" width="9.140625" style="79"/>
    <col min="9472" max="9472" width="88" style="79" customWidth="1"/>
    <col min="9473" max="9473" width="15" style="79" customWidth="1"/>
    <col min="9474" max="9474" width="20.42578125" style="79" customWidth="1"/>
    <col min="9475" max="9475" width="18.7109375" style="79" customWidth="1"/>
    <col min="9476" max="9478" width="20.42578125" style="79" customWidth="1"/>
    <col min="9479" max="9479" width="18.42578125" style="79" customWidth="1"/>
    <col min="9480" max="9727" width="9.140625" style="79"/>
    <col min="9728" max="9728" width="88" style="79" customWidth="1"/>
    <col min="9729" max="9729" width="15" style="79" customWidth="1"/>
    <col min="9730" max="9730" width="20.42578125" style="79" customWidth="1"/>
    <col min="9731" max="9731" width="18.7109375" style="79" customWidth="1"/>
    <col min="9732" max="9734" width="20.42578125" style="79" customWidth="1"/>
    <col min="9735" max="9735" width="18.42578125" style="79" customWidth="1"/>
    <col min="9736" max="9983" width="9.140625" style="79"/>
    <col min="9984" max="9984" width="88" style="79" customWidth="1"/>
    <col min="9985" max="9985" width="15" style="79" customWidth="1"/>
    <col min="9986" max="9986" width="20.42578125" style="79" customWidth="1"/>
    <col min="9987" max="9987" width="18.7109375" style="79" customWidth="1"/>
    <col min="9988" max="9990" width="20.42578125" style="79" customWidth="1"/>
    <col min="9991" max="9991" width="18.42578125" style="79" customWidth="1"/>
    <col min="9992" max="10239" width="9.140625" style="79"/>
    <col min="10240" max="10240" width="88" style="79" customWidth="1"/>
    <col min="10241" max="10241" width="15" style="79" customWidth="1"/>
    <col min="10242" max="10242" width="20.42578125" style="79" customWidth="1"/>
    <col min="10243" max="10243" width="18.7109375" style="79" customWidth="1"/>
    <col min="10244" max="10246" width="20.42578125" style="79" customWidth="1"/>
    <col min="10247" max="10247" width="18.42578125" style="79" customWidth="1"/>
    <col min="10248" max="10495" width="9.140625" style="79"/>
    <col min="10496" max="10496" width="88" style="79" customWidth="1"/>
    <col min="10497" max="10497" width="15" style="79" customWidth="1"/>
    <col min="10498" max="10498" width="20.42578125" style="79" customWidth="1"/>
    <col min="10499" max="10499" width="18.7109375" style="79" customWidth="1"/>
    <col min="10500" max="10502" width="20.42578125" style="79" customWidth="1"/>
    <col min="10503" max="10503" width="18.42578125" style="79" customWidth="1"/>
    <col min="10504" max="10751" width="9.140625" style="79"/>
    <col min="10752" max="10752" width="88" style="79" customWidth="1"/>
    <col min="10753" max="10753" width="15" style="79" customWidth="1"/>
    <col min="10754" max="10754" width="20.42578125" style="79" customWidth="1"/>
    <col min="10755" max="10755" width="18.7109375" style="79" customWidth="1"/>
    <col min="10756" max="10758" width="20.42578125" style="79" customWidth="1"/>
    <col min="10759" max="10759" width="18.42578125" style="79" customWidth="1"/>
    <col min="10760" max="11007" width="9.140625" style="79"/>
    <col min="11008" max="11008" width="88" style="79" customWidth="1"/>
    <col min="11009" max="11009" width="15" style="79" customWidth="1"/>
    <col min="11010" max="11010" width="20.42578125" style="79" customWidth="1"/>
    <col min="11011" max="11011" width="18.7109375" style="79" customWidth="1"/>
    <col min="11012" max="11014" width="20.42578125" style="79" customWidth="1"/>
    <col min="11015" max="11015" width="18.42578125" style="79" customWidth="1"/>
    <col min="11016" max="11263" width="9.140625" style="79"/>
    <col min="11264" max="11264" width="88" style="79" customWidth="1"/>
    <col min="11265" max="11265" width="15" style="79" customWidth="1"/>
    <col min="11266" max="11266" width="20.42578125" style="79" customWidth="1"/>
    <col min="11267" max="11267" width="18.7109375" style="79" customWidth="1"/>
    <col min="11268" max="11270" width="20.42578125" style="79" customWidth="1"/>
    <col min="11271" max="11271" width="18.42578125" style="79" customWidth="1"/>
    <col min="11272" max="11519" width="9.140625" style="79"/>
    <col min="11520" max="11520" width="88" style="79" customWidth="1"/>
    <col min="11521" max="11521" width="15" style="79" customWidth="1"/>
    <col min="11522" max="11522" width="20.42578125" style="79" customWidth="1"/>
    <col min="11523" max="11523" width="18.7109375" style="79" customWidth="1"/>
    <col min="11524" max="11526" width="20.42578125" style="79" customWidth="1"/>
    <col min="11527" max="11527" width="18.42578125" style="79" customWidth="1"/>
    <col min="11528" max="11775" width="9.140625" style="79"/>
    <col min="11776" max="11776" width="88" style="79" customWidth="1"/>
    <col min="11777" max="11777" width="15" style="79" customWidth="1"/>
    <col min="11778" max="11778" width="20.42578125" style="79" customWidth="1"/>
    <col min="11779" max="11779" width="18.7109375" style="79" customWidth="1"/>
    <col min="11780" max="11782" width="20.42578125" style="79" customWidth="1"/>
    <col min="11783" max="11783" width="18.42578125" style="79" customWidth="1"/>
    <col min="11784" max="12031" width="9.140625" style="79"/>
    <col min="12032" max="12032" width="88" style="79" customWidth="1"/>
    <col min="12033" max="12033" width="15" style="79" customWidth="1"/>
    <col min="12034" max="12034" width="20.42578125" style="79" customWidth="1"/>
    <col min="12035" max="12035" width="18.7109375" style="79" customWidth="1"/>
    <col min="12036" max="12038" width="20.42578125" style="79" customWidth="1"/>
    <col min="12039" max="12039" width="18.42578125" style="79" customWidth="1"/>
    <col min="12040" max="12287" width="9.140625" style="79"/>
    <col min="12288" max="12288" width="88" style="79" customWidth="1"/>
    <col min="12289" max="12289" width="15" style="79" customWidth="1"/>
    <col min="12290" max="12290" width="20.42578125" style="79" customWidth="1"/>
    <col min="12291" max="12291" width="18.7109375" style="79" customWidth="1"/>
    <col min="12292" max="12294" width="20.42578125" style="79" customWidth="1"/>
    <col min="12295" max="12295" width="18.42578125" style="79" customWidth="1"/>
    <col min="12296" max="12543" width="9.140625" style="79"/>
    <col min="12544" max="12544" width="88" style="79" customWidth="1"/>
    <col min="12545" max="12545" width="15" style="79" customWidth="1"/>
    <col min="12546" max="12546" width="20.42578125" style="79" customWidth="1"/>
    <col min="12547" max="12547" width="18.7109375" style="79" customWidth="1"/>
    <col min="12548" max="12550" width="20.42578125" style="79" customWidth="1"/>
    <col min="12551" max="12551" width="18.42578125" style="79" customWidth="1"/>
    <col min="12552" max="12799" width="9.140625" style="79"/>
    <col min="12800" max="12800" width="88" style="79" customWidth="1"/>
    <col min="12801" max="12801" width="15" style="79" customWidth="1"/>
    <col min="12802" max="12802" width="20.42578125" style="79" customWidth="1"/>
    <col min="12803" max="12803" width="18.7109375" style="79" customWidth="1"/>
    <col min="12804" max="12806" width="20.42578125" style="79" customWidth="1"/>
    <col min="12807" max="12807" width="18.42578125" style="79" customWidth="1"/>
    <col min="12808" max="13055" width="9.140625" style="79"/>
    <col min="13056" max="13056" width="88" style="79" customWidth="1"/>
    <col min="13057" max="13057" width="15" style="79" customWidth="1"/>
    <col min="13058" max="13058" width="20.42578125" style="79" customWidth="1"/>
    <col min="13059" max="13059" width="18.7109375" style="79" customWidth="1"/>
    <col min="13060" max="13062" width="20.42578125" style="79" customWidth="1"/>
    <col min="13063" max="13063" width="18.42578125" style="79" customWidth="1"/>
    <col min="13064" max="13311" width="9.140625" style="79"/>
    <col min="13312" max="13312" width="88" style="79" customWidth="1"/>
    <col min="13313" max="13313" width="15" style="79" customWidth="1"/>
    <col min="13314" max="13314" width="20.42578125" style="79" customWidth="1"/>
    <col min="13315" max="13315" width="18.7109375" style="79" customWidth="1"/>
    <col min="13316" max="13318" width="20.42578125" style="79" customWidth="1"/>
    <col min="13319" max="13319" width="18.42578125" style="79" customWidth="1"/>
    <col min="13320" max="13567" width="9.140625" style="79"/>
    <col min="13568" max="13568" width="88" style="79" customWidth="1"/>
    <col min="13569" max="13569" width="15" style="79" customWidth="1"/>
    <col min="13570" max="13570" width="20.42578125" style="79" customWidth="1"/>
    <col min="13571" max="13571" width="18.7109375" style="79" customWidth="1"/>
    <col min="13572" max="13574" width="20.42578125" style="79" customWidth="1"/>
    <col min="13575" max="13575" width="18.42578125" style="79" customWidth="1"/>
    <col min="13576" max="13823" width="9.140625" style="79"/>
    <col min="13824" max="13824" width="88" style="79" customWidth="1"/>
    <col min="13825" max="13825" width="15" style="79" customWidth="1"/>
    <col min="13826" max="13826" width="20.42578125" style="79" customWidth="1"/>
    <col min="13827" max="13827" width="18.7109375" style="79" customWidth="1"/>
    <col min="13828" max="13830" width="20.42578125" style="79" customWidth="1"/>
    <col min="13831" max="13831" width="18.42578125" style="79" customWidth="1"/>
    <col min="13832" max="14079" width="9.140625" style="79"/>
    <col min="14080" max="14080" width="88" style="79" customWidth="1"/>
    <col min="14081" max="14081" width="15" style="79" customWidth="1"/>
    <col min="14082" max="14082" width="20.42578125" style="79" customWidth="1"/>
    <col min="14083" max="14083" width="18.7109375" style="79" customWidth="1"/>
    <col min="14084" max="14086" width="20.42578125" style="79" customWidth="1"/>
    <col min="14087" max="14087" width="18.42578125" style="79" customWidth="1"/>
    <col min="14088" max="14335" width="9.140625" style="79"/>
    <col min="14336" max="14336" width="88" style="79" customWidth="1"/>
    <col min="14337" max="14337" width="15" style="79" customWidth="1"/>
    <col min="14338" max="14338" width="20.42578125" style="79" customWidth="1"/>
    <col min="14339" max="14339" width="18.7109375" style="79" customWidth="1"/>
    <col min="14340" max="14342" width="20.42578125" style="79" customWidth="1"/>
    <col min="14343" max="14343" width="18.42578125" style="79" customWidth="1"/>
    <col min="14344" max="14591" width="9.140625" style="79"/>
    <col min="14592" max="14592" width="88" style="79" customWidth="1"/>
    <col min="14593" max="14593" width="15" style="79" customWidth="1"/>
    <col min="14594" max="14594" width="20.42578125" style="79" customWidth="1"/>
    <col min="14595" max="14595" width="18.7109375" style="79" customWidth="1"/>
    <col min="14596" max="14598" width="20.42578125" style="79" customWidth="1"/>
    <col min="14599" max="14599" width="18.42578125" style="79" customWidth="1"/>
    <col min="14600" max="14847" width="9.140625" style="79"/>
    <col min="14848" max="14848" width="88" style="79" customWidth="1"/>
    <col min="14849" max="14849" width="15" style="79" customWidth="1"/>
    <col min="14850" max="14850" width="20.42578125" style="79" customWidth="1"/>
    <col min="14851" max="14851" width="18.7109375" style="79" customWidth="1"/>
    <col min="14852" max="14854" width="20.42578125" style="79" customWidth="1"/>
    <col min="14855" max="14855" width="18.42578125" style="79" customWidth="1"/>
    <col min="14856" max="15103" width="9.140625" style="79"/>
    <col min="15104" max="15104" width="88" style="79" customWidth="1"/>
    <col min="15105" max="15105" width="15" style="79" customWidth="1"/>
    <col min="15106" max="15106" width="20.42578125" style="79" customWidth="1"/>
    <col min="15107" max="15107" width="18.7109375" style="79" customWidth="1"/>
    <col min="15108" max="15110" width="20.42578125" style="79" customWidth="1"/>
    <col min="15111" max="15111" width="18.42578125" style="79" customWidth="1"/>
    <col min="15112" max="15359" width="9.140625" style="79"/>
    <col min="15360" max="15360" width="88" style="79" customWidth="1"/>
    <col min="15361" max="15361" width="15" style="79" customWidth="1"/>
    <col min="15362" max="15362" width="20.42578125" style="79" customWidth="1"/>
    <col min="15363" max="15363" width="18.7109375" style="79" customWidth="1"/>
    <col min="15364" max="15366" width="20.42578125" style="79" customWidth="1"/>
    <col min="15367" max="15367" width="18.42578125" style="79" customWidth="1"/>
    <col min="15368" max="15615" width="9.140625" style="79"/>
    <col min="15616" max="15616" width="88" style="79" customWidth="1"/>
    <col min="15617" max="15617" width="15" style="79" customWidth="1"/>
    <col min="15618" max="15618" width="20.42578125" style="79" customWidth="1"/>
    <col min="15619" max="15619" width="18.7109375" style="79" customWidth="1"/>
    <col min="15620" max="15622" width="20.42578125" style="79" customWidth="1"/>
    <col min="15623" max="15623" width="18.42578125" style="79" customWidth="1"/>
    <col min="15624" max="15871" width="9.140625" style="79"/>
    <col min="15872" max="15872" width="88" style="79" customWidth="1"/>
    <col min="15873" max="15873" width="15" style="79" customWidth="1"/>
    <col min="15874" max="15874" width="20.42578125" style="79" customWidth="1"/>
    <col min="15875" max="15875" width="18.7109375" style="79" customWidth="1"/>
    <col min="15876" max="15878" width="20.42578125" style="79" customWidth="1"/>
    <col min="15879" max="15879" width="18.42578125" style="79" customWidth="1"/>
    <col min="15880" max="16127" width="9.140625" style="79"/>
    <col min="16128" max="16128" width="88" style="79" customWidth="1"/>
    <col min="16129" max="16129" width="15" style="79" customWidth="1"/>
    <col min="16130" max="16130" width="20.42578125" style="79" customWidth="1"/>
    <col min="16131" max="16131" width="18.7109375" style="79" customWidth="1"/>
    <col min="16132" max="16134" width="20.42578125" style="79" customWidth="1"/>
    <col min="16135" max="16135" width="18.42578125" style="79" customWidth="1"/>
    <col min="16136" max="16384" width="9.140625" style="79"/>
  </cols>
  <sheetData>
    <row r="1" spans="1:12" outlineLevel="1" x14ac:dyDescent="0.25">
      <c r="H1" s="102" t="s">
        <v>0</v>
      </c>
    </row>
    <row r="2" spans="1:12" outlineLevel="1" x14ac:dyDescent="0.25">
      <c r="H2" s="102" t="s">
        <v>144</v>
      </c>
    </row>
    <row r="3" spans="1:12" outlineLevel="1" x14ac:dyDescent="0.25">
      <c r="H3" s="102"/>
    </row>
    <row r="4" spans="1:12" x14ac:dyDescent="0.25">
      <c r="A4" s="256" t="s">
        <v>145</v>
      </c>
      <c r="B4" s="256"/>
      <c r="C4" s="256"/>
      <c r="D4" s="256"/>
      <c r="E4" s="256"/>
      <c r="F4" s="256"/>
      <c r="G4" s="256"/>
      <c r="H4" s="256"/>
      <c r="L4" s="290">
        <v>33</v>
      </c>
    </row>
    <row r="5" spans="1:12" ht="62.25" customHeight="1" x14ac:dyDescent="0.25">
      <c r="A5" s="259" t="s">
        <v>97</v>
      </c>
      <c r="B5" s="292" t="s">
        <v>146</v>
      </c>
      <c r="C5" s="259" t="s">
        <v>432</v>
      </c>
      <c r="D5" s="259"/>
      <c r="E5" s="260" t="s">
        <v>315</v>
      </c>
      <c r="F5" s="260"/>
      <c r="G5" s="260"/>
      <c r="H5" s="260"/>
      <c r="L5" s="290"/>
    </row>
    <row r="6" spans="1:12" ht="66.75" customHeight="1" x14ac:dyDescent="0.25">
      <c r="A6" s="259"/>
      <c r="B6" s="292"/>
      <c r="C6" s="220" t="s">
        <v>451</v>
      </c>
      <c r="D6" s="220" t="s">
        <v>452</v>
      </c>
      <c r="E6" s="220" t="s">
        <v>453</v>
      </c>
      <c r="F6" s="220" t="s">
        <v>454</v>
      </c>
      <c r="G6" s="4" t="s">
        <v>7</v>
      </c>
      <c r="H6" s="4" t="s">
        <v>8</v>
      </c>
      <c r="L6" s="290"/>
    </row>
    <row r="7" spans="1:12" x14ac:dyDescent="0.25">
      <c r="A7" s="158">
        <v>1</v>
      </c>
      <c r="B7" s="225">
        <v>2</v>
      </c>
      <c r="C7" s="220">
        <v>3</v>
      </c>
      <c r="D7" s="225">
        <v>4</v>
      </c>
      <c r="E7" s="220">
        <v>5</v>
      </c>
      <c r="F7" s="225">
        <v>6</v>
      </c>
      <c r="G7" s="171">
        <v>7</v>
      </c>
      <c r="H7" s="177">
        <v>8</v>
      </c>
      <c r="L7" s="290"/>
    </row>
    <row r="8" spans="1:12" s="29" customFormat="1" ht="24.95" customHeight="1" x14ac:dyDescent="0.25">
      <c r="A8" s="286" t="s">
        <v>147</v>
      </c>
      <c r="B8" s="286"/>
      <c r="C8" s="286"/>
      <c r="D8" s="286"/>
      <c r="E8" s="286"/>
      <c r="F8" s="286"/>
      <c r="G8" s="286"/>
      <c r="H8" s="286"/>
      <c r="L8" s="290"/>
    </row>
    <row r="9" spans="1:12" ht="20.100000000000001" customHeight="1" x14ac:dyDescent="0.25">
      <c r="A9" s="21" t="s">
        <v>148</v>
      </c>
      <c r="B9" s="6">
        <v>1170</v>
      </c>
      <c r="C9" s="7">
        <f>Фін.результат!C69</f>
        <v>2153</v>
      </c>
      <c r="D9" s="7">
        <f>F9</f>
        <v>-1048</v>
      </c>
      <c r="E9" s="7">
        <f>33*4</f>
        <v>132</v>
      </c>
      <c r="F9" s="7">
        <f>Фін.результат!F69</f>
        <v>-1048</v>
      </c>
      <c r="G9" s="7">
        <f>F9-E9</f>
        <v>-1180</v>
      </c>
      <c r="H9" s="7">
        <f>F9*100/E9</f>
        <v>-793.93939393939399</v>
      </c>
      <c r="L9" s="290"/>
    </row>
    <row r="10" spans="1:12" ht="20.100000000000001" customHeight="1" x14ac:dyDescent="0.25">
      <c r="A10" s="21" t="s">
        <v>149</v>
      </c>
      <c r="B10" s="30"/>
      <c r="C10" s="224"/>
      <c r="D10" s="7"/>
      <c r="E10" s="224"/>
      <c r="F10" s="224"/>
      <c r="G10" s="7">
        <f t="shared" ref="G10:G18" si="0">F10-E10</f>
        <v>0</v>
      </c>
      <c r="H10" s="174"/>
      <c r="L10" s="290"/>
    </row>
    <row r="11" spans="1:12" ht="20.100000000000001" customHeight="1" x14ac:dyDescent="0.25">
      <c r="A11" s="21" t="s">
        <v>150</v>
      </c>
      <c r="B11" s="219">
        <v>3000</v>
      </c>
      <c r="C11" s="224">
        <v>0</v>
      </c>
      <c r="D11" s="7">
        <f t="shared" ref="D11:D19" si="1">F11</f>
        <v>0</v>
      </c>
      <c r="E11" s="224">
        <v>0</v>
      </c>
      <c r="F11" s="224">
        <v>0</v>
      </c>
      <c r="G11" s="7">
        <f t="shared" si="0"/>
        <v>0</v>
      </c>
      <c r="H11" s="174">
        <v>0</v>
      </c>
      <c r="L11" s="290"/>
    </row>
    <row r="12" spans="1:12" ht="20.100000000000001" customHeight="1" x14ac:dyDescent="0.25">
      <c r="A12" s="21" t="s">
        <v>151</v>
      </c>
      <c r="B12" s="219">
        <v>3010</v>
      </c>
      <c r="C12" s="224">
        <v>0</v>
      </c>
      <c r="D12" s="7">
        <f t="shared" ref="D12:D18" si="2">F12</f>
        <v>0</v>
      </c>
      <c r="E12" s="224">
        <v>0</v>
      </c>
      <c r="F12" s="224">
        <v>0</v>
      </c>
      <c r="G12" s="7">
        <f t="shared" si="0"/>
        <v>0</v>
      </c>
      <c r="H12" s="174">
        <v>0</v>
      </c>
      <c r="L12" s="290"/>
    </row>
    <row r="13" spans="1:12" ht="20.100000000000001" customHeight="1" x14ac:dyDescent="0.25">
      <c r="A13" s="21" t="s">
        <v>152</v>
      </c>
      <c r="B13" s="219">
        <v>3020</v>
      </c>
      <c r="C13" s="224">
        <v>0</v>
      </c>
      <c r="D13" s="7">
        <f t="shared" si="2"/>
        <v>0</v>
      </c>
      <c r="E13" s="224">
        <v>0</v>
      </c>
      <c r="F13" s="224">
        <v>0</v>
      </c>
      <c r="G13" s="7">
        <f t="shared" si="0"/>
        <v>0</v>
      </c>
      <c r="H13" s="174">
        <v>0</v>
      </c>
      <c r="L13" s="290"/>
    </row>
    <row r="14" spans="1:12" ht="42.75" customHeight="1" x14ac:dyDescent="0.25">
      <c r="A14" s="21" t="s">
        <v>153</v>
      </c>
      <c r="B14" s="219">
        <v>3030</v>
      </c>
      <c r="C14" s="224">
        <v>0</v>
      </c>
      <c r="D14" s="7">
        <f t="shared" si="2"/>
        <v>0</v>
      </c>
      <c r="E14" s="224">
        <v>0</v>
      </c>
      <c r="F14" s="224">
        <v>0</v>
      </c>
      <c r="G14" s="7">
        <f t="shared" si="0"/>
        <v>0</v>
      </c>
      <c r="H14" s="174">
        <v>0</v>
      </c>
      <c r="L14" s="290"/>
    </row>
    <row r="15" spans="1:12" ht="42.75" customHeight="1" x14ac:dyDescent="0.25">
      <c r="A15" s="160" t="s">
        <v>154</v>
      </c>
      <c r="B15" s="219">
        <v>3040</v>
      </c>
      <c r="C15" s="224">
        <v>0</v>
      </c>
      <c r="D15" s="7">
        <f t="shared" si="2"/>
        <v>0</v>
      </c>
      <c r="E15" s="224">
        <v>0</v>
      </c>
      <c r="F15" s="224">
        <v>0</v>
      </c>
      <c r="G15" s="7">
        <f t="shared" si="0"/>
        <v>0</v>
      </c>
      <c r="H15" s="174">
        <v>0</v>
      </c>
      <c r="L15" s="290"/>
    </row>
    <row r="16" spans="1:12" ht="20.100000000000001" customHeight="1" x14ac:dyDescent="0.25">
      <c r="A16" s="21" t="s">
        <v>155</v>
      </c>
      <c r="B16" s="219">
        <v>3050</v>
      </c>
      <c r="C16" s="224">
        <v>0</v>
      </c>
      <c r="D16" s="7">
        <f t="shared" si="2"/>
        <v>0</v>
      </c>
      <c r="E16" s="224">
        <v>0</v>
      </c>
      <c r="F16" s="224">
        <v>0</v>
      </c>
      <c r="G16" s="7">
        <f t="shared" si="0"/>
        <v>0</v>
      </c>
      <c r="H16" s="174">
        <v>0</v>
      </c>
      <c r="L16" s="290"/>
    </row>
    <row r="17" spans="1:12" ht="20.100000000000001" customHeight="1" x14ac:dyDescent="0.25">
      <c r="A17" s="21" t="s">
        <v>156</v>
      </c>
      <c r="B17" s="219">
        <v>3060</v>
      </c>
      <c r="C17" s="224">
        <v>0</v>
      </c>
      <c r="D17" s="7">
        <f t="shared" si="2"/>
        <v>0</v>
      </c>
      <c r="E17" s="224">
        <v>0</v>
      </c>
      <c r="F17" s="224">
        <v>0</v>
      </c>
      <c r="G17" s="7">
        <f t="shared" si="0"/>
        <v>0</v>
      </c>
      <c r="H17" s="174">
        <v>0</v>
      </c>
      <c r="L17" s="290"/>
    </row>
    <row r="18" spans="1:12" ht="20.100000000000001" customHeight="1" x14ac:dyDescent="0.25">
      <c r="A18" s="160" t="s">
        <v>157</v>
      </c>
      <c r="B18" s="219">
        <v>3070</v>
      </c>
      <c r="C18" s="224">
        <v>0</v>
      </c>
      <c r="D18" s="7">
        <f t="shared" si="2"/>
        <v>0</v>
      </c>
      <c r="E18" s="224">
        <v>0</v>
      </c>
      <c r="F18" s="224">
        <v>0</v>
      </c>
      <c r="G18" s="7">
        <f t="shared" si="0"/>
        <v>0</v>
      </c>
      <c r="H18" s="174">
        <v>0</v>
      </c>
      <c r="L18" s="290"/>
    </row>
    <row r="19" spans="1:12" ht="20.100000000000001" customHeight="1" x14ac:dyDescent="0.25">
      <c r="A19" s="21" t="s">
        <v>158</v>
      </c>
      <c r="B19" s="219">
        <v>3080</v>
      </c>
      <c r="C19" s="224">
        <f>'Розрахунки з бюджетом'!C24</f>
        <v>2</v>
      </c>
      <c r="D19" s="7">
        <f t="shared" si="1"/>
        <v>113</v>
      </c>
      <c r="E19" s="224">
        <f>'Розрахунки з бюджетом'!E24</f>
        <v>24</v>
      </c>
      <c r="F19" s="224">
        <f>'Розрахунки з бюджетом'!F24</f>
        <v>113</v>
      </c>
      <c r="G19" s="7">
        <f>F19-E19</f>
        <v>89</v>
      </c>
      <c r="H19" s="7">
        <f>F19*100/E19</f>
        <v>470.83333333333331</v>
      </c>
      <c r="L19" s="290"/>
    </row>
    <row r="20" spans="1:12" ht="20.100000000000001" customHeight="1" x14ac:dyDescent="0.25">
      <c r="A20" s="159" t="s">
        <v>159</v>
      </c>
      <c r="B20" s="219">
        <v>3090</v>
      </c>
      <c r="C20" s="224">
        <f>C70</f>
        <v>-145</v>
      </c>
      <c r="D20" s="7">
        <f>F20</f>
        <v>1</v>
      </c>
      <c r="E20" s="224">
        <f>E70</f>
        <v>160</v>
      </c>
      <c r="F20" s="224">
        <f>F70</f>
        <v>1</v>
      </c>
      <c r="G20" s="7">
        <f>F20-E20</f>
        <v>-159</v>
      </c>
      <c r="H20" s="7">
        <f>F20*100/E20</f>
        <v>0.625</v>
      </c>
      <c r="L20" s="290"/>
    </row>
    <row r="21" spans="1:12" ht="24.95" customHeight="1" x14ac:dyDescent="0.25">
      <c r="A21" s="286" t="s">
        <v>160</v>
      </c>
      <c r="B21" s="286"/>
      <c r="C21" s="286"/>
      <c r="D21" s="286"/>
      <c r="E21" s="286"/>
      <c r="F21" s="286"/>
      <c r="G21" s="286"/>
      <c r="H21" s="286"/>
      <c r="L21" s="290"/>
    </row>
    <row r="22" spans="1:12" ht="20.100000000000001" customHeight="1" x14ac:dyDescent="0.25">
      <c r="A22" s="160" t="s">
        <v>161</v>
      </c>
      <c r="B22" s="6"/>
      <c r="C22" s="7"/>
      <c r="D22" s="7"/>
      <c r="E22" s="7"/>
      <c r="F22" s="7"/>
      <c r="G22" s="7"/>
      <c r="H22" s="7"/>
      <c r="L22" s="290"/>
    </row>
    <row r="23" spans="1:12" ht="20.100000000000001" customHeight="1" x14ac:dyDescent="0.25">
      <c r="A23" s="5" t="s">
        <v>162</v>
      </c>
      <c r="B23" s="6">
        <v>3200</v>
      </c>
      <c r="C23" s="224">
        <v>0</v>
      </c>
      <c r="D23" s="7">
        <f t="shared" ref="D23:D25" si="3">F23</f>
        <v>0</v>
      </c>
      <c r="E23" s="224">
        <v>0</v>
      </c>
      <c r="F23" s="224">
        <v>0</v>
      </c>
      <c r="G23" s="174">
        <v>0</v>
      </c>
      <c r="H23" s="174">
        <v>0</v>
      </c>
      <c r="L23" s="290"/>
    </row>
    <row r="24" spans="1:12" ht="20.100000000000001" customHeight="1" x14ac:dyDescent="0.25">
      <c r="A24" s="5" t="s">
        <v>163</v>
      </c>
      <c r="B24" s="6">
        <v>3210</v>
      </c>
      <c r="C24" s="224">
        <v>0</v>
      </c>
      <c r="D24" s="7">
        <f t="shared" si="3"/>
        <v>0</v>
      </c>
      <c r="E24" s="224">
        <v>0</v>
      </c>
      <c r="F24" s="224">
        <v>0</v>
      </c>
      <c r="G24" s="174">
        <v>0</v>
      </c>
      <c r="H24" s="174">
        <v>0</v>
      </c>
      <c r="L24" s="290"/>
    </row>
    <row r="25" spans="1:12" ht="20.100000000000001" customHeight="1" x14ac:dyDescent="0.25">
      <c r="A25" s="5" t="s">
        <v>164</v>
      </c>
      <c r="B25" s="6">
        <v>3220</v>
      </c>
      <c r="C25" s="224">
        <v>0</v>
      </c>
      <c r="D25" s="7">
        <f t="shared" si="3"/>
        <v>0</v>
      </c>
      <c r="E25" s="224">
        <v>0</v>
      </c>
      <c r="F25" s="224">
        <v>0</v>
      </c>
      <c r="G25" s="174">
        <v>0</v>
      </c>
      <c r="H25" s="174">
        <v>0</v>
      </c>
      <c r="L25" s="290"/>
    </row>
    <row r="26" spans="1:12" ht="20.100000000000001" customHeight="1" x14ac:dyDescent="0.25">
      <c r="A26" s="21" t="s">
        <v>165</v>
      </c>
      <c r="B26" s="6"/>
      <c r="C26" s="7"/>
      <c r="D26" s="7"/>
      <c r="E26" s="7"/>
      <c r="F26" s="7"/>
      <c r="G26" s="7"/>
      <c r="H26" s="7"/>
      <c r="L26" s="290"/>
    </row>
    <row r="27" spans="1:12" ht="20.100000000000001" customHeight="1" x14ac:dyDescent="0.25">
      <c r="A27" s="5" t="s">
        <v>166</v>
      </c>
      <c r="B27" s="6">
        <v>3230</v>
      </c>
      <c r="C27" s="224">
        <v>0</v>
      </c>
      <c r="D27" s="7">
        <f t="shared" ref="D27:D29" si="4">F27</f>
        <v>0</v>
      </c>
      <c r="E27" s="224">
        <v>0</v>
      </c>
      <c r="F27" s="224">
        <v>0</v>
      </c>
      <c r="G27" s="174">
        <v>0</v>
      </c>
      <c r="H27" s="174">
        <v>0</v>
      </c>
      <c r="L27" s="290"/>
    </row>
    <row r="28" spans="1:12" ht="20.100000000000001" customHeight="1" x14ac:dyDescent="0.25">
      <c r="A28" s="5" t="s">
        <v>167</v>
      </c>
      <c r="B28" s="6">
        <v>3240</v>
      </c>
      <c r="C28" s="224">
        <v>0</v>
      </c>
      <c r="D28" s="7">
        <f t="shared" si="4"/>
        <v>0</v>
      </c>
      <c r="E28" s="224">
        <v>0</v>
      </c>
      <c r="F28" s="224">
        <v>0</v>
      </c>
      <c r="G28" s="174">
        <v>0</v>
      </c>
      <c r="H28" s="174">
        <v>0</v>
      </c>
      <c r="L28" s="290"/>
    </row>
    <row r="29" spans="1:12" ht="20.100000000000001" customHeight="1" x14ac:dyDescent="0.25">
      <c r="A29" s="21" t="s">
        <v>168</v>
      </c>
      <c r="B29" s="6">
        <v>3250</v>
      </c>
      <c r="C29" s="224">
        <v>0</v>
      </c>
      <c r="D29" s="7">
        <f t="shared" si="4"/>
        <v>0</v>
      </c>
      <c r="E29" s="224">
        <v>0</v>
      </c>
      <c r="F29" s="224">
        <v>0</v>
      </c>
      <c r="G29" s="174">
        <v>0</v>
      </c>
      <c r="H29" s="174">
        <v>0</v>
      </c>
      <c r="L29" s="290"/>
    </row>
    <row r="30" spans="1:12" ht="20.100000000000001" customHeight="1" x14ac:dyDescent="0.25">
      <c r="A30" s="5" t="s">
        <v>169</v>
      </c>
      <c r="B30" s="6">
        <v>3260</v>
      </c>
      <c r="C30" s="7">
        <v>0</v>
      </c>
      <c r="D30" s="7"/>
      <c r="E30" s="7"/>
      <c r="F30" s="7"/>
      <c r="G30" s="7"/>
      <c r="H30" s="7"/>
      <c r="L30" s="290"/>
    </row>
    <row r="31" spans="1:12" ht="20.100000000000001" customHeight="1" x14ac:dyDescent="0.25">
      <c r="A31" s="160" t="s">
        <v>170</v>
      </c>
      <c r="B31" s="6"/>
      <c r="C31" s="7"/>
      <c r="D31" s="7"/>
      <c r="E31" s="7"/>
      <c r="F31" s="7"/>
      <c r="G31" s="7"/>
      <c r="H31" s="7"/>
      <c r="L31" s="290"/>
    </row>
    <row r="32" spans="1:12" ht="20.100000000000001" customHeight="1" x14ac:dyDescent="0.25">
      <c r="A32" s="5" t="s">
        <v>171</v>
      </c>
      <c r="B32" s="6">
        <v>3270</v>
      </c>
      <c r="C32" s="224">
        <v>0</v>
      </c>
      <c r="D32" s="7">
        <f t="shared" ref="D32:D37" si="5">F32</f>
        <v>0</v>
      </c>
      <c r="E32" s="224">
        <v>0</v>
      </c>
      <c r="F32" s="224">
        <v>0</v>
      </c>
      <c r="G32" s="174">
        <v>0</v>
      </c>
      <c r="H32" s="174">
        <v>0</v>
      </c>
      <c r="L32" s="290"/>
    </row>
    <row r="33" spans="1:12" ht="20.100000000000001" customHeight="1" x14ac:dyDescent="0.25">
      <c r="A33" s="5" t="s">
        <v>172</v>
      </c>
      <c r="B33" s="6">
        <v>3280</v>
      </c>
      <c r="C33" s="224">
        <v>0</v>
      </c>
      <c r="D33" s="7">
        <f t="shared" si="5"/>
        <v>0</v>
      </c>
      <c r="E33" s="224">
        <v>0</v>
      </c>
      <c r="F33" s="224">
        <v>0</v>
      </c>
      <c r="G33" s="174">
        <v>0</v>
      </c>
      <c r="H33" s="174">
        <v>0</v>
      </c>
      <c r="L33" s="290"/>
    </row>
    <row r="34" spans="1:12" ht="20.100000000000001" customHeight="1" x14ac:dyDescent="0.25">
      <c r="A34" s="5" t="s">
        <v>173</v>
      </c>
      <c r="B34" s="6">
        <v>3290</v>
      </c>
      <c r="C34" s="224">
        <v>0</v>
      </c>
      <c r="D34" s="7">
        <f t="shared" si="5"/>
        <v>0</v>
      </c>
      <c r="E34" s="224">
        <v>0</v>
      </c>
      <c r="F34" s="224">
        <v>0</v>
      </c>
      <c r="G34" s="174">
        <v>0</v>
      </c>
      <c r="H34" s="174">
        <v>0</v>
      </c>
      <c r="L34" s="290"/>
    </row>
    <row r="35" spans="1:12" ht="20.100000000000001" customHeight="1" x14ac:dyDescent="0.25">
      <c r="A35" s="5" t="s">
        <v>174</v>
      </c>
      <c r="B35" s="6">
        <v>3300</v>
      </c>
      <c r="C35" s="224">
        <v>0</v>
      </c>
      <c r="D35" s="7">
        <f t="shared" si="5"/>
        <v>0</v>
      </c>
      <c r="E35" s="224">
        <v>0</v>
      </c>
      <c r="F35" s="224">
        <v>0</v>
      </c>
      <c r="G35" s="174">
        <v>0</v>
      </c>
      <c r="H35" s="174">
        <v>0</v>
      </c>
      <c r="L35" s="290"/>
    </row>
    <row r="36" spans="1:12" ht="20.100000000000001" customHeight="1" x14ac:dyDescent="0.25">
      <c r="A36" s="5" t="s">
        <v>175</v>
      </c>
      <c r="B36" s="6">
        <v>3310</v>
      </c>
      <c r="C36" s="224">
        <v>0</v>
      </c>
      <c r="D36" s="7">
        <f t="shared" si="5"/>
        <v>0</v>
      </c>
      <c r="E36" s="224">
        <v>0</v>
      </c>
      <c r="F36" s="224">
        <v>0</v>
      </c>
      <c r="G36" s="174">
        <v>0</v>
      </c>
      <c r="H36" s="174">
        <v>0</v>
      </c>
      <c r="L36" s="290"/>
    </row>
    <row r="37" spans="1:12" ht="20.100000000000001" customHeight="1" x14ac:dyDescent="0.25">
      <c r="A37" s="160" t="s">
        <v>176</v>
      </c>
      <c r="B37" s="6">
        <v>3320</v>
      </c>
      <c r="C37" s="224">
        <v>0</v>
      </c>
      <c r="D37" s="7">
        <f t="shared" si="5"/>
        <v>0</v>
      </c>
      <c r="E37" s="224">
        <v>0</v>
      </c>
      <c r="F37" s="224">
        <v>0</v>
      </c>
      <c r="G37" s="174">
        <v>0</v>
      </c>
      <c r="H37" s="174">
        <v>0</v>
      </c>
      <c r="L37" s="290"/>
    </row>
    <row r="38" spans="1:12" ht="20.100000000000001" hidden="1" customHeight="1" outlineLevel="1" x14ac:dyDescent="0.25">
      <c r="A38" s="160"/>
      <c r="B38" s="6"/>
      <c r="C38" s="8"/>
      <c r="D38" s="8"/>
      <c r="E38" s="8"/>
      <c r="F38" s="287" t="s">
        <v>0</v>
      </c>
      <c r="G38" s="288"/>
      <c r="H38" s="289"/>
      <c r="L38" s="176"/>
    </row>
    <row r="39" spans="1:12" ht="20.100000000000001" hidden="1" customHeight="1" outlineLevel="1" x14ac:dyDescent="0.25">
      <c r="A39" s="160"/>
      <c r="B39" s="6"/>
      <c r="C39" s="8"/>
      <c r="D39" s="8"/>
      <c r="E39" s="8"/>
      <c r="F39" s="287" t="s">
        <v>177</v>
      </c>
      <c r="G39" s="288"/>
      <c r="H39" s="289"/>
      <c r="L39" s="176"/>
    </row>
    <row r="40" spans="1:12" ht="24.95" customHeight="1" collapsed="1" x14ac:dyDescent="0.25">
      <c r="A40" s="286" t="s">
        <v>178</v>
      </c>
      <c r="B40" s="286"/>
      <c r="C40" s="286"/>
      <c r="D40" s="286"/>
      <c r="E40" s="286"/>
      <c r="F40" s="286"/>
      <c r="G40" s="286"/>
      <c r="H40" s="286"/>
      <c r="L40" s="290">
        <v>34</v>
      </c>
    </row>
    <row r="41" spans="1:12" ht="20.100000000000001" customHeight="1" x14ac:dyDescent="0.25">
      <c r="A41" s="160" t="s">
        <v>161</v>
      </c>
      <c r="B41" s="6"/>
      <c r="C41" s="7"/>
      <c r="D41" s="7"/>
      <c r="E41" s="7"/>
      <c r="F41" s="7"/>
      <c r="G41" s="7"/>
      <c r="H41" s="7"/>
      <c r="L41" s="290"/>
    </row>
    <row r="42" spans="1:12" ht="20.100000000000001" customHeight="1" x14ac:dyDescent="0.25">
      <c r="A42" s="21" t="s">
        <v>179</v>
      </c>
      <c r="B42" s="6">
        <v>3400</v>
      </c>
      <c r="C42" s="7">
        <v>0</v>
      </c>
      <c r="D42" s="7">
        <v>0</v>
      </c>
      <c r="E42" s="7">
        <v>0</v>
      </c>
      <c r="F42" s="7">
        <v>0</v>
      </c>
      <c r="G42" s="7">
        <v>0</v>
      </c>
      <c r="H42" s="7">
        <v>0</v>
      </c>
      <c r="L42" s="290"/>
    </row>
    <row r="43" spans="1:12" ht="20.100000000000001" customHeight="1" x14ac:dyDescent="0.25">
      <c r="A43" s="5" t="s">
        <v>180</v>
      </c>
      <c r="B43" s="30"/>
      <c r="C43" s="69"/>
      <c r="D43" s="69"/>
      <c r="E43" s="69"/>
      <c r="F43" s="69"/>
      <c r="G43" s="69"/>
      <c r="H43" s="69"/>
      <c r="L43" s="290"/>
    </row>
    <row r="44" spans="1:12" ht="20.100000000000001" customHeight="1" x14ac:dyDescent="0.25">
      <c r="A44" s="5" t="s">
        <v>181</v>
      </c>
      <c r="B44" s="6">
        <v>3410</v>
      </c>
      <c r="C44" s="224">
        <v>0</v>
      </c>
      <c r="D44" s="7">
        <f t="shared" ref="D44:D46" si="6">F44</f>
        <v>0</v>
      </c>
      <c r="E44" s="224">
        <v>0</v>
      </c>
      <c r="F44" s="224">
        <v>0</v>
      </c>
      <c r="G44" s="174">
        <v>0</v>
      </c>
      <c r="H44" s="174">
        <v>0</v>
      </c>
      <c r="L44" s="290"/>
    </row>
    <row r="45" spans="1:12" ht="20.100000000000001" customHeight="1" x14ac:dyDescent="0.25">
      <c r="A45" s="5" t="s">
        <v>182</v>
      </c>
      <c r="B45" s="219">
        <v>3420</v>
      </c>
      <c r="C45" s="224">
        <v>0</v>
      </c>
      <c r="D45" s="7">
        <f t="shared" si="6"/>
        <v>0</v>
      </c>
      <c r="E45" s="224">
        <v>0</v>
      </c>
      <c r="F45" s="224">
        <v>0</v>
      </c>
      <c r="G45" s="174">
        <v>0</v>
      </c>
      <c r="H45" s="174">
        <v>0</v>
      </c>
      <c r="L45" s="290"/>
    </row>
    <row r="46" spans="1:12" ht="20.100000000000001" customHeight="1" x14ac:dyDescent="0.25">
      <c r="A46" s="5" t="s">
        <v>183</v>
      </c>
      <c r="B46" s="6">
        <v>3430</v>
      </c>
      <c r="C46" s="224">
        <v>0</v>
      </c>
      <c r="D46" s="7">
        <f t="shared" si="6"/>
        <v>0</v>
      </c>
      <c r="E46" s="224">
        <v>0</v>
      </c>
      <c r="F46" s="224">
        <v>0</v>
      </c>
      <c r="G46" s="174">
        <v>0</v>
      </c>
      <c r="H46" s="174">
        <v>0</v>
      </c>
      <c r="L46" s="290"/>
    </row>
    <row r="47" spans="1:12" ht="20.100000000000001" customHeight="1" x14ac:dyDescent="0.25">
      <c r="A47" s="5" t="s">
        <v>184</v>
      </c>
      <c r="B47" s="6"/>
      <c r="C47" s="7"/>
      <c r="D47" s="7"/>
      <c r="E47" s="7"/>
      <c r="F47" s="7"/>
      <c r="G47" s="7"/>
      <c r="H47" s="7"/>
      <c r="L47" s="290"/>
    </row>
    <row r="48" spans="1:12" ht="20.100000000000001" customHeight="1" x14ac:dyDescent="0.25">
      <c r="A48" s="5" t="s">
        <v>181</v>
      </c>
      <c r="B48" s="219">
        <v>3440</v>
      </c>
      <c r="C48" s="224">
        <v>0</v>
      </c>
      <c r="D48" s="7">
        <f t="shared" ref="D48:D55" si="7">F48</f>
        <v>0</v>
      </c>
      <c r="E48" s="224">
        <v>0</v>
      </c>
      <c r="F48" s="224">
        <v>0</v>
      </c>
      <c r="G48" s="174">
        <v>0</v>
      </c>
      <c r="H48" s="174">
        <v>0</v>
      </c>
      <c r="L48" s="290"/>
    </row>
    <row r="49" spans="1:12" ht="20.100000000000001" customHeight="1" x14ac:dyDescent="0.25">
      <c r="A49" s="5" t="s">
        <v>182</v>
      </c>
      <c r="B49" s="219">
        <v>3450</v>
      </c>
      <c r="C49" s="224">
        <v>0</v>
      </c>
      <c r="D49" s="7">
        <f t="shared" si="7"/>
        <v>0</v>
      </c>
      <c r="E49" s="224">
        <v>0</v>
      </c>
      <c r="F49" s="224">
        <v>0</v>
      </c>
      <c r="G49" s="174">
        <v>0</v>
      </c>
      <c r="H49" s="174">
        <v>0</v>
      </c>
      <c r="L49" s="290"/>
    </row>
    <row r="50" spans="1:12" ht="20.100000000000001" customHeight="1" x14ac:dyDescent="0.25">
      <c r="A50" s="5" t="s">
        <v>183</v>
      </c>
      <c r="B50" s="219">
        <v>3460</v>
      </c>
      <c r="C50" s="224">
        <v>0</v>
      </c>
      <c r="D50" s="7">
        <f t="shared" si="7"/>
        <v>0</v>
      </c>
      <c r="E50" s="224">
        <v>0</v>
      </c>
      <c r="F50" s="224">
        <v>0</v>
      </c>
      <c r="G50" s="174">
        <v>0</v>
      </c>
      <c r="H50" s="174">
        <v>0</v>
      </c>
      <c r="L50" s="290"/>
    </row>
    <row r="51" spans="1:12" ht="20.100000000000001" customHeight="1" x14ac:dyDescent="0.25">
      <c r="A51" s="5" t="s">
        <v>185</v>
      </c>
      <c r="B51" s="219">
        <v>3470</v>
      </c>
      <c r="C51" s="224">
        <v>0</v>
      </c>
      <c r="D51" s="7">
        <f t="shared" si="7"/>
        <v>0</v>
      </c>
      <c r="E51" s="224">
        <v>0</v>
      </c>
      <c r="F51" s="224">
        <v>0</v>
      </c>
      <c r="G51" s="174">
        <v>0</v>
      </c>
      <c r="H51" s="174">
        <v>0</v>
      </c>
      <c r="L51" s="290"/>
    </row>
    <row r="52" spans="1:12" ht="20.100000000000001" customHeight="1" x14ac:dyDescent="0.25">
      <c r="A52" s="5" t="s">
        <v>169</v>
      </c>
      <c r="B52" s="219">
        <v>3480</v>
      </c>
      <c r="C52" s="224">
        <v>0</v>
      </c>
      <c r="D52" s="7">
        <f t="shared" si="7"/>
        <v>0</v>
      </c>
      <c r="E52" s="224">
        <v>0</v>
      </c>
      <c r="F52" s="224">
        <v>0</v>
      </c>
      <c r="G52" s="174">
        <v>0</v>
      </c>
      <c r="H52" s="174">
        <v>0</v>
      </c>
      <c r="L52" s="290"/>
    </row>
    <row r="53" spans="1:12" ht="20.100000000000001" customHeight="1" x14ac:dyDescent="0.25">
      <c r="A53" s="160" t="s">
        <v>170</v>
      </c>
      <c r="B53" s="6"/>
      <c r="C53" s="224"/>
      <c r="D53" s="7"/>
      <c r="E53" s="224"/>
      <c r="F53" s="224"/>
      <c r="G53" s="174"/>
      <c r="H53" s="174"/>
      <c r="L53" s="290"/>
    </row>
    <row r="54" spans="1:12" ht="20.100000000000001" customHeight="1" x14ac:dyDescent="0.25">
      <c r="A54" s="5" t="s">
        <v>186</v>
      </c>
      <c r="B54" s="6">
        <v>3490</v>
      </c>
      <c r="C54" s="224">
        <v>0</v>
      </c>
      <c r="D54" s="7">
        <f t="shared" si="7"/>
        <v>0</v>
      </c>
      <c r="E54" s="224">
        <v>0</v>
      </c>
      <c r="F54" s="224">
        <v>0</v>
      </c>
      <c r="G54" s="174">
        <v>0</v>
      </c>
      <c r="H54" s="174">
        <v>0</v>
      </c>
      <c r="L54" s="290"/>
    </row>
    <row r="55" spans="1:12" ht="20.100000000000001" customHeight="1" x14ac:dyDescent="0.25">
      <c r="A55" s="5" t="s">
        <v>187</v>
      </c>
      <c r="B55" s="6">
        <v>3500</v>
      </c>
      <c r="C55" s="224">
        <v>0</v>
      </c>
      <c r="D55" s="7">
        <f t="shared" si="7"/>
        <v>0</v>
      </c>
      <c r="E55" s="224">
        <v>0</v>
      </c>
      <c r="F55" s="224">
        <v>0</v>
      </c>
      <c r="G55" s="174">
        <v>0</v>
      </c>
      <c r="H55" s="174">
        <v>0</v>
      </c>
      <c r="L55" s="290"/>
    </row>
    <row r="56" spans="1:12" ht="20.100000000000001" customHeight="1" x14ac:dyDescent="0.25">
      <c r="A56" s="5" t="s">
        <v>188</v>
      </c>
      <c r="B56" s="6"/>
      <c r="C56" s="224"/>
      <c r="D56" s="7"/>
      <c r="E56" s="224"/>
      <c r="F56" s="224"/>
      <c r="G56" s="174"/>
      <c r="H56" s="174"/>
      <c r="L56" s="290"/>
    </row>
    <row r="57" spans="1:12" ht="20.100000000000001" customHeight="1" x14ac:dyDescent="0.25">
      <c r="A57" s="5" t="s">
        <v>181</v>
      </c>
      <c r="B57" s="219">
        <v>3510</v>
      </c>
      <c r="C57" s="224">
        <v>0</v>
      </c>
      <c r="D57" s="7">
        <f t="shared" ref="D57:D61" si="8">F57</f>
        <v>0</v>
      </c>
      <c r="E57" s="224">
        <v>0</v>
      </c>
      <c r="F57" s="224">
        <v>0</v>
      </c>
      <c r="G57" s="174">
        <v>0</v>
      </c>
      <c r="H57" s="174">
        <v>0</v>
      </c>
      <c r="L57" s="290"/>
    </row>
    <row r="58" spans="1:12" ht="20.100000000000001" customHeight="1" x14ac:dyDescent="0.25">
      <c r="A58" s="5" t="s">
        <v>182</v>
      </c>
      <c r="B58" s="219">
        <v>3520</v>
      </c>
      <c r="C58" s="224">
        <v>0</v>
      </c>
      <c r="D58" s="7">
        <f t="shared" si="8"/>
        <v>0</v>
      </c>
      <c r="E58" s="224">
        <v>0</v>
      </c>
      <c r="F58" s="224">
        <v>0</v>
      </c>
      <c r="G58" s="174">
        <v>0</v>
      </c>
      <c r="H58" s="174">
        <v>0</v>
      </c>
      <c r="L58" s="290"/>
    </row>
    <row r="59" spans="1:12" ht="20.100000000000001" customHeight="1" x14ac:dyDescent="0.25">
      <c r="A59" s="5" t="s">
        <v>183</v>
      </c>
      <c r="B59" s="219">
        <v>3530</v>
      </c>
      <c r="C59" s="224">
        <v>0</v>
      </c>
      <c r="D59" s="7">
        <f t="shared" si="8"/>
        <v>0</v>
      </c>
      <c r="E59" s="224">
        <v>0</v>
      </c>
      <c r="F59" s="224">
        <v>0</v>
      </c>
      <c r="G59" s="174">
        <v>0</v>
      </c>
      <c r="H59" s="174">
        <v>0</v>
      </c>
      <c r="L59" s="290"/>
    </row>
    <row r="60" spans="1:12" ht="20.100000000000001" customHeight="1" x14ac:dyDescent="0.25">
      <c r="A60" s="5" t="s">
        <v>189</v>
      </c>
      <c r="B60" s="6"/>
      <c r="C60" s="224"/>
      <c r="D60" s="7"/>
      <c r="E60" s="224"/>
      <c r="F60" s="224"/>
      <c r="G60" s="174"/>
      <c r="H60" s="174"/>
      <c r="L60" s="290"/>
    </row>
    <row r="61" spans="1:12" ht="20.100000000000001" customHeight="1" x14ac:dyDescent="0.25">
      <c r="A61" s="5" t="s">
        <v>181</v>
      </c>
      <c r="B61" s="219">
        <v>3540</v>
      </c>
      <c r="C61" s="224">
        <v>0</v>
      </c>
      <c r="D61" s="7">
        <f t="shared" si="8"/>
        <v>0</v>
      </c>
      <c r="E61" s="224">
        <v>0</v>
      </c>
      <c r="F61" s="224">
        <v>0</v>
      </c>
      <c r="G61" s="174">
        <v>0</v>
      </c>
      <c r="H61" s="174">
        <v>0</v>
      </c>
      <c r="L61" s="290"/>
    </row>
    <row r="62" spans="1:12" ht="20.100000000000001" customHeight="1" x14ac:dyDescent="0.25">
      <c r="A62" s="5" t="s">
        <v>182</v>
      </c>
      <c r="B62" s="219">
        <v>3550</v>
      </c>
      <c r="C62" s="224">
        <v>0</v>
      </c>
      <c r="D62" s="7">
        <f t="shared" ref="D62:D64" si="9">F62</f>
        <v>0</v>
      </c>
      <c r="E62" s="224">
        <v>0</v>
      </c>
      <c r="F62" s="224">
        <v>0</v>
      </c>
      <c r="G62" s="174">
        <v>0</v>
      </c>
      <c r="H62" s="174">
        <v>0</v>
      </c>
      <c r="L62" s="290"/>
    </row>
    <row r="63" spans="1:12" ht="20.100000000000001" customHeight="1" x14ac:dyDescent="0.25">
      <c r="A63" s="5" t="s">
        <v>183</v>
      </c>
      <c r="B63" s="219">
        <v>3560</v>
      </c>
      <c r="C63" s="224">
        <v>0</v>
      </c>
      <c r="D63" s="7">
        <f t="shared" si="9"/>
        <v>0</v>
      </c>
      <c r="E63" s="224">
        <v>0</v>
      </c>
      <c r="F63" s="224">
        <v>0</v>
      </c>
      <c r="G63" s="174">
        <v>0</v>
      </c>
      <c r="H63" s="174">
        <v>0</v>
      </c>
      <c r="L63" s="290"/>
    </row>
    <row r="64" spans="1:12" ht="20.100000000000001" customHeight="1" x14ac:dyDescent="0.25">
      <c r="A64" s="5" t="s">
        <v>175</v>
      </c>
      <c r="B64" s="219">
        <v>3570</v>
      </c>
      <c r="C64" s="224">
        <v>0</v>
      </c>
      <c r="D64" s="7">
        <f t="shared" si="9"/>
        <v>0</v>
      </c>
      <c r="E64" s="224">
        <v>0</v>
      </c>
      <c r="F64" s="224">
        <v>0</v>
      </c>
      <c r="G64" s="174">
        <v>0</v>
      </c>
      <c r="H64" s="174">
        <v>0</v>
      </c>
      <c r="L64" s="290"/>
    </row>
    <row r="65" spans="1:12" ht="20.100000000000001" customHeight="1" x14ac:dyDescent="0.25">
      <c r="A65" s="160" t="s">
        <v>190</v>
      </c>
      <c r="B65" s="219">
        <v>3580</v>
      </c>
      <c r="C65" s="224">
        <v>0</v>
      </c>
      <c r="D65" s="224">
        <v>0</v>
      </c>
      <c r="E65" s="224">
        <v>0</v>
      </c>
      <c r="F65" s="224">
        <v>0</v>
      </c>
      <c r="G65" s="174">
        <v>0</v>
      </c>
      <c r="H65" s="174">
        <v>0</v>
      </c>
      <c r="L65" s="290"/>
    </row>
    <row r="66" spans="1:12" s="31" customFormat="1" ht="20.100000000000001" customHeight="1" x14ac:dyDescent="0.25">
      <c r="A66" s="5" t="s">
        <v>191</v>
      </c>
      <c r="B66" s="219"/>
      <c r="C66" s="224"/>
      <c r="D66" s="224"/>
      <c r="E66" s="224"/>
      <c r="F66" s="224"/>
      <c r="G66" s="174"/>
      <c r="H66" s="174"/>
      <c r="L66" s="290"/>
    </row>
    <row r="67" spans="1:12" s="31" customFormat="1" ht="20.100000000000001" customHeight="1" x14ac:dyDescent="0.25">
      <c r="A67" s="159" t="s">
        <v>192</v>
      </c>
      <c r="B67" s="219">
        <v>3600</v>
      </c>
      <c r="C67" s="224">
        <v>251</v>
      </c>
      <c r="D67" s="224">
        <f>F67</f>
        <v>106</v>
      </c>
      <c r="E67" s="224">
        <f>65*4</f>
        <v>260</v>
      </c>
      <c r="F67" s="224">
        <v>106</v>
      </c>
      <c r="G67" s="7">
        <f>F67-E67</f>
        <v>-154</v>
      </c>
      <c r="H67" s="7">
        <f>F67*100/E67</f>
        <v>40.769230769230766</v>
      </c>
      <c r="L67" s="290"/>
    </row>
    <row r="68" spans="1:12" s="31" customFormat="1" ht="20.100000000000001" customHeight="1" x14ac:dyDescent="0.25">
      <c r="A68" s="12" t="s">
        <v>193</v>
      </c>
      <c r="B68" s="219">
        <v>3610</v>
      </c>
      <c r="C68" s="224">
        <v>0</v>
      </c>
      <c r="D68" s="224">
        <f t="shared" ref="D68:D70" si="10">F68</f>
        <v>0</v>
      </c>
      <c r="E68" s="224">
        <v>0</v>
      </c>
      <c r="F68" s="224">
        <v>0</v>
      </c>
      <c r="G68" s="7">
        <f t="shared" ref="G68" si="11">F68-E68</f>
        <v>0</v>
      </c>
      <c r="H68" s="7">
        <v>0</v>
      </c>
      <c r="L68" s="290"/>
    </row>
    <row r="69" spans="1:12" s="31" customFormat="1" ht="20.100000000000001" customHeight="1" x14ac:dyDescent="0.25">
      <c r="A69" s="159" t="s">
        <v>194</v>
      </c>
      <c r="B69" s="219">
        <v>3620</v>
      </c>
      <c r="C69" s="224">
        <v>106</v>
      </c>
      <c r="D69" s="224">
        <f t="shared" si="10"/>
        <v>107</v>
      </c>
      <c r="E69" s="224">
        <f>105*4</f>
        <v>420</v>
      </c>
      <c r="F69" s="224">
        <v>107</v>
      </c>
      <c r="G69" s="7">
        <f>F69-E69</f>
        <v>-313</v>
      </c>
      <c r="H69" s="7">
        <f>F69*100/E69</f>
        <v>25.476190476190474</v>
      </c>
      <c r="L69" s="290"/>
    </row>
    <row r="70" spans="1:12" s="31" customFormat="1" ht="20.100000000000001" customHeight="1" x14ac:dyDescent="0.25">
      <c r="A70" s="159" t="s">
        <v>195</v>
      </c>
      <c r="B70" s="219">
        <v>3630</v>
      </c>
      <c r="C70" s="224">
        <f>C69-C67</f>
        <v>-145</v>
      </c>
      <c r="D70" s="224">
        <f t="shared" si="10"/>
        <v>1</v>
      </c>
      <c r="E70" s="224">
        <f>E69-E67</f>
        <v>160</v>
      </c>
      <c r="F70" s="224">
        <f>F69-F67</f>
        <v>1</v>
      </c>
      <c r="G70" s="7">
        <f>F70-E70</f>
        <v>-159</v>
      </c>
      <c r="H70" s="7">
        <f t="shared" ref="H70" si="12">F70*100/E70</f>
        <v>0.625</v>
      </c>
      <c r="L70" s="290"/>
    </row>
    <row r="71" spans="1:12" s="31" customFormat="1" ht="20.100000000000001" customHeight="1" x14ac:dyDescent="0.25">
      <c r="A71" s="13"/>
      <c r="B71" s="218"/>
      <c r="C71" s="222"/>
      <c r="D71" s="222"/>
      <c r="E71" s="222"/>
      <c r="F71" s="222"/>
      <c r="G71" s="99"/>
      <c r="H71" s="99"/>
      <c r="L71" s="290"/>
    </row>
    <row r="72" spans="1:12" s="31" customFormat="1" ht="20.100000000000001" customHeight="1" x14ac:dyDescent="0.25">
      <c r="A72" s="13"/>
      <c r="B72" s="218"/>
      <c r="C72" s="222"/>
      <c r="D72" s="222"/>
      <c r="E72" s="222"/>
      <c r="F72" s="222"/>
      <c r="G72" s="99"/>
      <c r="H72" s="99"/>
      <c r="L72" s="290"/>
    </row>
    <row r="73" spans="1:12" s="31" customFormat="1" x14ac:dyDescent="0.25">
      <c r="A73" s="79"/>
      <c r="B73" s="32"/>
      <c r="C73" s="32"/>
      <c r="D73" s="32"/>
      <c r="E73" s="32"/>
      <c r="F73" s="32"/>
      <c r="G73" s="32"/>
      <c r="H73" s="32"/>
      <c r="L73" s="290"/>
    </row>
    <row r="74" spans="1:12" s="1" customFormat="1" ht="27.75" customHeight="1" x14ac:dyDescent="0.25">
      <c r="A74" s="13" t="s">
        <v>196</v>
      </c>
      <c r="B74" s="15"/>
      <c r="C74" s="246" t="s">
        <v>140</v>
      </c>
      <c r="D74" s="246"/>
      <c r="E74" s="143"/>
      <c r="F74" s="247" t="s">
        <v>317</v>
      </c>
      <c r="G74" s="247"/>
      <c r="H74" s="247"/>
      <c r="L74" s="290"/>
    </row>
    <row r="75" spans="1:12" x14ac:dyDescent="0.25">
      <c r="A75" s="157" t="s">
        <v>197</v>
      </c>
      <c r="B75" s="1"/>
      <c r="C75" s="248" t="s">
        <v>198</v>
      </c>
      <c r="D75" s="248"/>
      <c r="E75" s="1"/>
      <c r="F75" s="291" t="s">
        <v>199</v>
      </c>
      <c r="G75" s="291"/>
      <c r="H75" s="291"/>
      <c r="L75" s="290"/>
    </row>
    <row r="76" spans="1:12" x14ac:dyDescent="0.25">
      <c r="L76" s="290"/>
    </row>
  </sheetData>
  <mergeCells count="16">
    <mergeCell ref="A4:H4"/>
    <mergeCell ref="L4:L37"/>
    <mergeCell ref="A5:A6"/>
    <mergeCell ref="B5:B6"/>
    <mergeCell ref="C5:D5"/>
    <mergeCell ref="E5:H5"/>
    <mergeCell ref="A8:H8"/>
    <mergeCell ref="A21:H21"/>
    <mergeCell ref="F38:H38"/>
    <mergeCell ref="F39:H39"/>
    <mergeCell ref="A40:H40"/>
    <mergeCell ref="L40:L76"/>
    <mergeCell ref="C74:D74"/>
    <mergeCell ref="F74:H74"/>
    <mergeCell ref="C75:D75"/>
    <mergeCell ref="F75:H75"/>
  </mergeCells>
  <pageMargins left="0.70866141732283472" right="0.59055118110236227" top="0.98425196850393704" bottom="0.39370078740157483" header="0.9055118110236221" footer="0.31496062992125984"/>
  <pageSetup paperSize="9" scale="3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4"/>
  <sheetViews>
    <sheetView topLeftCell="A3" zoomScale="91" zoomScaleNormal="91" workbookViewId="0">
      <selection activeCell="F10" sqref="F10:F11"/>
    </sheetView>
  </sheetViews>
  <sheetFormatPr defaultRowHeight="18.75" outlineLevelRow="1" x14ac:dyDescent="0.25"/>
  <cols>
    <col min="1" max="1" width="82.28515625" style="1" customWidth="1"/>
    <col min="2" max="2" width="9.85546875" style="218" customWidth="1"/>
    <col min="3" max="3" width="21.5703125" style="218" customWidth="1"/>
    <col min="4" max="4" width="22.140625" style="218" customWidth="1"/>
    <col min="5" max="5" width="22.5703125" style="218" customWidth="1"/>
    <col min="6" max="6" width="22.85546875" style="218" customWidth="1"/>
    <col min="7" max="7" width="18.7109375" style="169" customWidth="1"/>
    <col min="8" max="8" width="18.28515625" style="156" customWidth="1"/>
    <col min="9" max="9" width="9.5703125" style="1" customWidth="1"/>
    <col min="10" max="10" width="9.85546875" style="1" customWidth="1"/>
    <col min="11" max="256" width="9.140625" style="1"/>
    <col min="257" max="257" width="82.28515625" style="1" customWidth="1"/>
    <col min="258" max="258" width="9.85546875" style="1" customWidth="1"/>
    <col min="259" max="259" width="25.7109375" style="1" customWidth="1"/>
    <col min="260" max="260" width="22.85546875" style="1" customWidth="1"/>
    <col min="261" max="262" width="25.7109375" style="1" customWidth="1"/>
    <col min="263" max="263" width="23.140625" style="1" customWidth="1"/>
    <col min="264" max="264" width="18.28515625" style="1" customWidth="1"/>
    <col min="265" max="265" width="9.5703125" style="1" customWidth="1"/>
    <col min="266" max="266" width="9.85546875" style="1" customWidth="1"/>
    <col min="267" max="512" width="9.140625" style="1"/>
    <col min="513" max="513" width="82.28515625" style="1" customWidth="1"/>
    <col min="514" max="514" width="9.85546875" style="1" customWidth="1"/>
    <col min="515" max="515" width="25.7109375" style="1" customWidth="1"/>
    <col min="516" max="516" width="22.85546875" style="1" customWidth="1"/>
    <col min="517" max="518" width="25.7109375" style="1" customWidth="1"/>
    <col min="519" max="519" width="23.140625" style="1" customWidth="1"/>
    <col min="520" max="520" width="18.28515625" style="1" customWidth="1"/>
    <col min="521" max="521" width="9.5703125" style="1" customWidth="1"/>
    <col min="522" max="522" width="9.85546875" style="1" customWidth="1"/>
    <col min="523" max="768" width="9.140625" style="1"/>
    <col min="769" max="769" width="82.28515625" style="1" customWidth="1"/>
    <col min="770" max="770" width="9.85546875" style="1" customWidth="1"/>
    <col min="771" max="771" width="25.7109375" style="1" customWidth="1"/>
    <col min="772" max="772" width="22.85546875" style="1" customWidth="1"/>
    <col min="773" max="774" width="25.7109375" style="1" customWidth="1"/>
    <col min="775" max="775" width="23.140625" style="1" customWidth="1"/>
    <col min="776" max="776" width="18.28515625" style="1" customWidth="1"/>
    <col min="777" max="777" width="9.5703125" style="1" customWidth="1"/>
    <col min="778" max="778" width="9.85546875" style="1" customWidth="1"/>
    <col min="779" max="1024" width="9.140625" style="1"/>
    <col min="1025" max="1025" width="82.28515625" style="1" customWidth="1"/>
    <col min="1026" max="1026" width="9.85546875" style="1" customWidth="1"/>
    <col min="1027" max="1027" width="25.7109375" style="1" customWidth="1"/>
    <col min="1028" max="1028" width="22.85546875" style="1" customWidth="1"/>
    <col min="1029" max="1030" width="25.7109375" style="1" customWidth="1"/>
    <col min="1031" max="1031" width="23.140625" style="1" customWidth="1"/>
    <col min="1032" max="1032" width="18.28515625" style="1" customWidth="1"/>
    <col min="1033" max="1033" width="9.5703125" style="1" customWidth="1"/>
    <col min="1034" max="1034" width="9.85546875" style="1" customWidth="1"/>
    <col min="1035" max="1280" width="9.140625" style="1"/>
    <col min="1281" max="1281" width="82.28515625" style="1" customWidth="1"/>
    <col min="1282" max="1282" width="9.85546875" style="1" customWidth="1"/>
    <col min="1283" max="1283" width="25.7109375" style="1" customWidth="1"/>
    <col min="1284" max="1284" width="22.85546875" style="1" customWidth="1"/>
    <col min="1285" max="1286" width="25.7109375" style="1" customWidth="1"/>
    <col min="1287" max="1287" width="23.140625" style="1" customWidth="1"/>
    <col min="1288" max="1288" width="18.28515625" style="1" customWidth="1"/>
    <col min="1289" max="1289" width="9.5703125" style="1" customWidth="1"/>
    <col min="1290" max="1290" width="9.85546875" style="1" customWidth="1"/>
    <col min="1291" max="1536" width="9.140625" style="1"/>
    <col min="1537" max="1537" width="82.28515625" style="1" customWidth="1"/>
    <col min="1538" max="1538" width="9.85546875" style="1" customWidth="1"/>
    <col min="1539" max="1539" width="25.7109375" style="1" customWidth="1"/>
    <col min="1540" max="1540" width="22.85546875" style="1" customWidth="1"/>
    <col min="1541" max="1542" width="25.7109375" style="1" customWidth="1"/>
    <col min="1543" max="1543" width="23.140625" style="1" customWidth="1"/>
    <col min="1544" max="1544" width="18.28515625" style="1" customWidth="1"/>
    <col min="1545" max="1545" width="9.5703125" style="1" customWidth="1"/>
    <col min="1546" max="1546" width="9.85546875" style="1" customWidth="1"/>
    <col min="1547" max="1792" width="9.140625" style="1"/>
    <col min="1793" max="1793" width="82.28515625" style="1" customWidth="1"/>
    <col min="1794" max="1794" width="9.85546875" style="1" customWidth="1"/>
    <col min="1795" max="1795" width="25.7109375" style="1" customWidth="1"/>
    <col min="1796" max="1796" width="22.85546875" style="1" customWidth="1"/>
    <col min="1797" max="1798" width="25.7109375" style="1" customWidth="1"/>
    <col min="1799" max="1799" width="23.140625" style="1" customWidth="1"/>
    <col min="1800" max="1800" width="18.28515625" style="1" customWidth="1"/>
    <col min="1801" max="1801" width="9.5703125" style="1" customWidth="1"/>
    <col min="1802" max="1802" width="9.85546875" style="1" customWidth="1"/>
    <col min="1803" max="2048" width="9.140625" style="1"/>
    <col min="2049" max="2049" width="82.28515625" style="1" customWidth="1"/>
    <col min="2050" max="2050" width="9.85546875" style="1" customWidth="1"/>
    <col min="2051" max="2051" width="25.7109375" style="1" customWidth="1"/>
    <col min="2052" max="2052" width="22.85546875" style="1" customWidth="1"/>
    <col min="2053" max="2054" width="25.7109375" style="1" customWidth="1"/>
    <col min="2055" max="2055" width="23.140625" style="1" customWidth="1"/>
    <col min="2056" max="2056" width="18.28515625" style="1" customWidth="1"/>
    <col min="2057" max="2057" width="9.5703125" style="1" customWidth="1"/>
    <col min="2058" max="2058" width="9.85546875" style="1" customWidth="1"/>
    <col min="2059" max="2304" width="9.140625" style="1"/>
    <col min="2305" max="2305" width="82.28515625" style="1" customWidth="1"/>
    <col min="2306" max="2306" width="9.85546875" style="1" customWidth="1"/>
    <col min="2307" max="2307" width="25.7109375" style="1" customWidth="1"/>
    <col min="2308" max="2308" width="22.85546875" style="1" customWidth="1"/>
    <col min="2309" max="2310" width="25.7109375" style="1" customWidth="1"/>
    <col min="2311" max="2311" width="23.140625" style="1" customWidth="1"/>
    <col min="2312" max="2312" width="18.28515625" style="1" customWidth="1"/>
    <col min="2313" max="2313" width="9.5703125" style="1" customWidth="1"/>
    <col min="2314" max="2314" width="9.85546875" style="1" customWidth="1"/>
    <col min="2315" max="2560" width="9.140625" style="1"/>
    <col min="2561" max="2561" width="82.28515625" style="1" customWidth="1"/>
    <col min="2562" max="2562" width="9.85546875" style="1" customWidth="1"/>
    <col min="2563" max="2563" width="25.7109375" style="1" customWidth="1"/>
    <col min="2564" max="2564" width="22.85546875" style="1" customWidth="1"/>
    <col min="2565" max="2566" width="25.7109375" style="1" customWidth="1"/>
    <col min="2567" max="2567" width="23.140625" style="1" customWidth="1"/>
    <col min="2568" max="2568" width="18.28515625" style="1" customWidth="1"/>
    <col min="2569" max="2569" width="9.5703125" style="1" customWidth="1"/>
    <col min="2570" max="2570" width="9.85546875" style="1" customWidth="1"/>
    <col min="2571" max="2816" width="9.140625" style="1"/>
    <col min="2817" max="2817" width="82.28515625" style="1" customWidth="1"/>
    <col min="2818" max="2818" width="9.85546875" style="1" customWidth="1"/>
    <col min="2819" max="2819" width="25.7109375" style="1" customWidth="1"/>
    <col min="2820" max="2820" width="22.85546875" style="1" customWidth="1"/>
    <col min="2821" max="2822" width="25.7109375" style="1" customWidth="1"/>
    <col min="2823" max="2823" width="23.140625" style="1" customWidth="1"/>
    <col min="2824" max="2824" width="18.28515625" style="1" customWidth="1"/>
    <col min="2825" max="2825" width="9.5703125" style="1" customWidth="1"/>
    <col min="2826" max="2826" width="9.85546875" style="1" customWidth="1"/>
    <col min="2827" max="3072" width="9.140625" style="1"/>
    <col min="3073" max="3073" width="82.28515625" style="1" customWidth="1"/>
    <col min="3074" max="3074" width="9.85546875" style="1" customWidth="1"/>
    <col min="3075" max="3075" width="25.7109375" style="1" customWidth="1"/>
    <col min="3076" max="3076" width="22.85546875" style="1" customWidth="1"/>
    <col min="3077" max="3078" width="25.7109375" style="1" customWidth="1"/>
    <col min="3079" max="3079" width="23.140625" style="1" customWidth="1"/>
    <col min="3080" max="3080" width="18.28515625" style="1" customWidth="1"/>
    <col min="3081" max="3081" width="9.5703125" style="1" customWidth="1"/>
    <col min="3082" max="3082" width="9.85546875" style="1" customWidth="1"/>
    <col min="3083" max="3328" width="9.140625" style="1"/>
    <col min="3329" max="3329" width="82.28515625" style="1" customWidth="1"/>
    <col min="3330" max="3330" width="9.85546875" style="1" customWidth="1"/>
    <col min="3331" max="3331" width="25.7109375" style="1" customWidth="1"/>
    <col min="3332" max="3332" width="22.85546875" style="1" customWidth="1"/>
    <col min="3333" max="3334" width="25.7109375" style="1" customWidth="1"/>
    <col min="3335" max="3335" width="23.140625" style="1" customWidth="1"/>
    <col min="3336" max="3336" width="18.28515625" style="1" customWidth="1"/>
    <col min="3337" max="3337" width="9.5703125" style="1" customWidth="1"/>
    <col min="3338" max="3338" width="9.85546875" style="1" customWidth="1"/>
    <col min="3339" max="3584" width="9.140625" style="1"/>
    <col min="3585" max="3585" width="82.28515625" style="1" customWidth="1"/>
    <col min="3586" max="3586" width="9.85546875" style="1" customWidth="1"/>
    <col min="3587" max="3587" width="25.7109375" style="1" customWidth="1"/>
    <col min="3588" max="3588" width="22.85546875" style="1" customWidth="1"/>
    <col min="3589" max="3590" width="25.7109375" style="1" customWidth="1"/>
    <col min="3591" max="3591" width="23.140625" style="1" customWidth="1"/>
    <col min="3592" max="3592" width="18.28515625" style="1" customWidth="1"/>
    <col min="3593" max="3593" width="9.5703125" style="1" customWidth="1"/>
    <col min="3594" max="3594" width="9.85546875" style="1" customWidth="1"/>
    <col min="3595" max="3840" width="9.140625" style="1"/>
    <col min="3841" max="3841" width="82.28515625" style="1" customWidth="1"/>
    <col min="3842" max="3842" width="9.85546875" style="1" customWidth="1"/>
    <col min="3843" max="3843" width="25.7109375" style="1" customWidth="1"/>
    <col min="3844" max="3844" width="22.85546875" style="1" customWidth="1"/>
    <col min="3845" max="3846" width="25.7109375" style="1" customWidth="1"/>
    <col min="3847" max="3847" width="23.140625" style="1" customWidth="1"/>
    <col min="3848" max="3848" width="18.28515625" style="1" customWidth="1"/>
    <col min="3849" max="3849" width="9.5703125" style="1" customWidth="1"/>
    <col min="3850" max="3850" width="9.85546875" style="1" customWidth="1"/>
    <col min="3851" max="4096" width="9.140625" style="1"/>
    <col min="4097" max="4097" width="82.28515625" style="1" customWidth="1"/>
    <col min="4098" max="4098" width="9.85546875" style="1" customWidth="1"/>
    <col min="4099" max="4099" width="25.7109375" style="1" customWidth="1"/>
    <col min="4100" max="4100" width="22.85546875" style="1" customWidth="1"/>
    <col min="4101" max="4102" width="25.7109375" style="1" customWidth="1"/>
    <col min="4103" max="4103" width="23.140625" style="1" customWidth="1"/>
    <col min="4104" max="4104" width="18.28515625" style="1" customWidth="1"/>
    <col min="4105" max="4105" width="9.5703125" style="1" customWidth="1"/>
    <col min="4106" max="4106" width="9.85546875" style="1" customWidth="1"/>
    <col min="4107" max="4352" width="9.140625" style="1"/>
    <col min="4353" max="4353" width="82.28515625" style="1" customWidth="1"/>
    <col min="4354" max="4354" width="9.85546875" style="1" customWidth="1"/>
    <col min="4355" max="4355" width="25.7109375" style="1" customWidth="1"/>
    <col min="4356" max="4356" width="22.85546875" style="1" customWidth="1"/>
    <col min="4357" max="4358" width="25.7109375" style="1" customWidth="1"/>
    <col min="4359" max="4359" width="23.140625" style="1" customWidth="1"/>
    <col min="4360" max="4360" width="18.28515625" style="1" customWidth="1"/>
    <col min="4361" max="4361" width="9.5703125" style="1" customWidth="1"/>
    <col min="4362" max="4362" width="9.85546875" style="1" customWidth="1"/>
    <col min="4363" max="4608" width="9.140625" style="1"/>
    <col min="4609" max="4609" width="82.28515625" style="1" customWidth="1"/>
    <col min="4610" max="4610" width="9.85546875" style="1" customWidth="1"/>
    <col min="4611" max="4611" width="25.7109375" style="1" customWidth="1"/>
    <col min="4612" max="4612" width="22.85546875" style="1" customWidth="1"/>
    <col min="4613" max="4614" width="25.7109375" style="1" customWidth="1"/>
    <col min="4615" max="4615" width="23.140625" style="1" customWidth="1"/>
    <col min="4616" max="4616" width="18.28515625" style="1" customWidth="1"/>
    <col min="4617" max="4617" width="9.5703125" style="1" customWidth="1"/>
    <col min="4618" max="4618" width="9.85546875" style="1" customWidth="1"/>
    <col min="4619" max="4864" width="9.140625" style="1"/>
    <col min="4865" max="4865" width="82.28515625" style="1" customWidth="1"/>
    <col min="4866" max="4866" width="9.85546875" style="1" customWidth="1"/>
    <col min="4867" max="4867" width="25.7109375" style="1" customWidth="1"/>
    <col min="4868" max="4868" width="22.85546875" style="1" customWidth="1"/>
    <col min="4869" max="4870" width="25.7109375" style="1" customWidth="1"/>
    <col min="4871" max="4871" width="23.140625" style="1" customWidth="1"/>
    <col min="4872" max="4872" width="18.28515625" style="1" customWidth="1"/>
    <col min="4873" max="4873" width="9.5703125" style="1" customWidth="1"/>
    <col min="4874" max="4874" width="9.85546875" style="1" customWidth="1"/>
    <col min="4875" max="5120" width="9.140625" style="1"/>
    <col min="5121" max="5121" width="82.28515625" style="1" customWidth="1"/>
    <col min="5122" max="5122" width="9.85546875" style="1" customWidth="1"/>
    <col min="5123" max="5123" width="25.7109375" style="1" customWidth="1"/>
    <col min="5124" max="5124" width="22.85546875" style="1" customWidth="1"/>
    <col min="5125" max="5126" width="25.7109375" style="1" customWidth="1"/>
    <col min="5127" max="5127" width="23.140625" style="1" customWidth="1"/>
    <col min="5128" max="5128" width="18.28515625" style="1" customWidth="1"/>
    <col min="5129" max="5129" width="9.5703125" style="1" customWidth="1"/>
    <col min="5130" max="5130" width="9.85546875" style="1" customWidth="1"/>
    <col min="5131" max="5376" width="9.140625" style="1"/>
    <col min="5377" max="5377" width="82.28515625" style="1" customWidth="1"/>
    <col min="5378" max="5378" width="9.85546875" style="1" customWidth="1"/>
    <col min="5379" max="5379" width="25.7109375" style="1" customWidth="1"/>
    <col min="5380" max="5380" width="22.85546875" style="1" customWidth="1"/>
    <col min="5381" max="5382" width="25.7109375" style="1" customWidth="1"/>
    <col min="5383" max="5383" width="23.140625" style="1" customWidth="1"/>
    <col min="5384" max="5384" width="18.28515625" style="1" customWidth="1"/>
    <col min="5385" max="5385" width="9.5703125" style="1" customWidth="1"/>
    <col min="5386" max="5386" width="9.85546875" style="1" customWidth="1"/>
    <col min="5387" max="5632" width="9.140625" style="1"/>
    <col min="5633" max="5633" width="82.28515625" style="1" customWidth="1"/>
    <col min="5634" max="5634" width="9.85546875" style="1" customWidth="1"/>
    <col min="5635" max="5635" width="25.7109375" style="1" customWidth="1"/>
    <col min="5636" max="5636" width="22.85546875" style="1" customWidth="1"/>
    <col min="5637" max="5638" width="25.7109375" style="1" customWidth="1"/>
    <col min="5639" max="5639" width="23.140625" style="1" customWidth="1"/>
    <col min="5640" max="5640" width="18.28515625" style="1" customWidth="1"/>
    <col min="5641" max="5641" width="9.5703125" style="1" customWidth="1"/>
    <col min="5642" max="5642" width="9.85546875" style="1" customWidth="1"/>
    <col min="5643" max="5888" width="9.140625" style="1"/>
    <col min="5889" max="5889" width="82.28515625" style="1" customWidth="1"/>
    <col min="5890" max="5890" width="9.85546875" style="1" customWidth="1"/>
    <col min="5891" max="5891" width="25.7109375" style="1" customWidth="1"/>
    <col min="5892" max="5892" width="22.85546875" style="1" customWidth="1"/>
    <col min="5893" max="5894" width="25.7109375" style="1" customWidth="1"/>
    <col min="5895" max="5895" width="23.140625" style="1" customWidth="1"/>
    <col min="5896" max="5896" width="18.28515625" style="1" customWidth="1"/>
    <col min="5897" max="5897" width="9.5703125" style="1" customWidth="1"/>
    <col min="5898" max="5898" width="9.85546875" style="1" customWidth="1"/>
    <col min="5899" max="6144" width="9.140625" style="1"/>
    <col min="6145" max="6145" width="82.28515625" style="1" customWidth="1"/>
    <col min="6146" max="6146" width="9.85546875" style="1" customWidth="1"/>
    <col min="6147" max="6147" width="25.7109375" style="1" customWidth="1"/>
    <col min="6148" max="6148" width="22.85546875" style="1" customWidth="1"/>
    <col min="6149" max="6150" width="25.7109375" style="1" customWidth="1"/>
    <col min="6151" max="6151" width="23.140625" style="1" customWidth="1"/>
    <col min="6152" max="6152" width="18.28515625" style="1" customWidth="1"/>
    <col min="6153" max="6153" width="9.5703125" style="1" customWidth="1"/>
    <col min="6154" max="6154" width="9.85546875" style="1" customWidth="1"/>
    <col min="6155" max="6400" width="9.140625" style="1"/>
    <col min="6401" max="6401" width="82.28515625" style="1" customWidth="1"/>
    <col min="6402" max="6402" width="9.85546875" style="1" customWidth="1"/>
    <col min="6403" max="6403" width="25.7109375" style="1" customWidth="1"/>
    <col min="6404" max="6404" width="22.85546875" style="1" customWidth="1"/>
    <col min="6405" max="6406" width="25.7109375" style="1" customWidth="1"/>
    <col min="6407" max="6407" width="23.140625" style="1" customWidth="1"/>
    <col min="6408" max="6408" width="18.28515625" style="1" customWidth="1"/>
    <col min="6409" max="6409" width="9.5703125" style="1" customWidth="1"/>
    <col min="6410" max="6410" width="9.85546875" style="1" customWidth="1"/>
    <col min="6411" max="6656" width="9.140625" style="1"/>
    <col min="6657" max="6657" width="82.28515625" style="1" customWidth="1"/>
    <col min="6658" max="6658" width="9.85546875" style="1" customWidth="1"/>
    <col min="6659" max="6659" width="25.7109375" style="1" customWidth="1"/>
    <col min="6660" max="6660" width="22.85546875" style="1" customWidth="1"/>
    <col min="6661" max="6662" width="25.7109375" style="1" customWidth="1"/>
    <col min="6663" max="6663" width="23.140625" style="1" customWidth="1"/>
    <col min="6664" max="6664" width="18.28515625" style="1" customWidth="1"/>
    <col min="6665" max="6665" width="9.5703125" style="1" customWidth="1"/>
    <col min="6666" max="6666" width="9.85546875" style="1" customWidth="1"/>
    <col min="6667" max="6912" width="9.140625" style="1"/>
    <col min="6913" max="6913" width="82.28515625" style="1" customWidth="1"/>
    <col min="6914" max="6914" width="9.85546875" style="1" customWidth="1"/>
    <col min="6915" max="6915" width="25.7109375" style="1" customWidth="1"/>
    <col min="6916" max="6916" width="22.85546875" style="1" customWidth="1"/>
    <col min="6917" max="6918" width="25.7109375" style="1" customWidth="1"/>
    <col min="6919" max="6919" width="23.140625" style="1" customWidth="1"/>
    <col min="6920" max="6920" width="18.28515625" style="1" customWidth="1"/>
    <col min="6921" max="6921" width="9.5703125" style="1" customWidth="1"/>
    <col min="6922" max="6922" width="9.85546875" style="1" customWidth="1"/>
    <col min="6923" max="7168" width="9.140625" style="1"/>
    <col min="7169" max="7169" width="82.28515625" style="1" customWidth="1"/>
    <col min="7170" max="7170" width="9.85546875" style="1" customWidth="1"/>
    <col min="7171" max="7171" width="25.7109375" style="1" customWidth="1"/>
    <col min="7172" max="7172" width="22.85546875" style="1" customWidth="1"/>
    <col min="7173" max="7174" width="25.7109375" style="1" customWidth="1"/>
    <col min="7175" max="7175" width="23.140625" style="1" customWidth="1"/>
    <col min="7176" max="7176" width="18.28515625" style="1" customWidth="1"/>
    <col min="7177" max="7177" width="9.5703125" style="1" customWidth="1"/>
    <col min="7178" max="7178" width="9.85546875" style="1" customWidth="1"/>
    <col min="7179" max="7424" width="9.140625" style="1"/>
    <col min="7425" max="7425" width="82.28515625" style="1" customWidth="1"/>
    <col min="7426" max="7426" width="9.85546875" style="1" customWidth="1"/>
    <col min="7427" max="7427" width="25.7109375" style="1" customWidth="1"/>
    <col min="7428" max="7428" width="22.85546875" style="1" customWidth="1"/>
    <col min="7429" max="7430" width="25.7109375" style="1" customWidth="1"/>
    <col min="7431" max="7431" width="23.140625" style="1" customWidth="1"/>
    <col min="7432" max="7432" width="18.28515625" style="1" customWidth="1"/>
    <col min="7433" max="7433" width="9.5703125" style="1" customWidth="1"/>
    <col min="7434" max="7434" width="9.85546875" style="1" customWidth="1"/>
    <col min="7435" max="7680" width="9.140625" style="1"/>
    <col min="7681" max="7681" width="82.28515625" style="1" customWidth="1"/>
    <col min="7682" max="7682" width="9.85546875" style="1" customWidth="1"/>
    <col min="7683" max="7683" width="25.7109375" style="1" customWidth="1"/>
    <col min="7684" max="7684" width="22.85546875" style="1" customWidth="1"/>
    <col min="7685" max="7686" width="25.7109375" style="1" customWidth="1"/>
    <col min="7687" max="7687" width="23.140625" style="1" customWidth="1"/>
    <col min="7688" max="7688" width="18.28515625" style="1" customWidth="1"/>
    <col min="7689" max="7689" width="9.5703125" style="1" customWidth="1"/>
    <col min="7690" max="7690" width="9.85546875" style="1" customWidth="1"/>
    <col min="7691" max="7936" width="9.140625" style="1"/>
    <col min="7937" max="7937" width="82.28515625" style="1" customWidth="1"/>
    <col min="7938" max="7938" width="9.85546875" style="1" customWidth="1"/>
    <col min="7939" max="7939" width="25.7109375" style="1" customWidth="1"/>
    <col min="7940" max="7940" width="22.85546875" style="1" customWidth="1"/>
    <col min="7941" max="7942" width="25.7109375" style="1" customWidth="1"/>
    <col min="7943" max="7943" width="23.140625" style="1" customWidth="1"/>
    <col min="7944" max="7944" width="18.28515625" style="1" customWidth="1"/>
    <col min="7945" max="7945" width="9.5703125" style="1" customWidth="1"/>
    <col min="7946" max="7946" width="9.85546875" style="1" customWidth="1"/>
    <col min="7947" max="8192" width="9.140625" style="1"/>
    <col min="8193" max="8193" width="82.28515625" style="1" customWidth="1"/>
    <col min="8194" max="8194" width="9.85546875" style="1" customWidth="1"/>
    <col min="8195" max="8195" width="25.7109375" style="1" customWidth="1"/>
    <col min="8196" max="8196" width="22.85546875" style="1" customWidth="1"/>
    <col min="8197" max="8198" width="25.7109375" style="1" customWidth="1"/>
    <col min="8199" max="8199" width="23.140625" style="1" customWidth="1"/>
    <col min="8200" max="8200" width="18.28515625" style="1" customWidth="1"/>
    <col min="8201" max="8201" width="9.5703125" style="1" customWidth="1"/>
    <col min="8202" max="8202" width="9.85546875" style="1" customWidth="1"/>
    <col min="8203" max="8448" width="9.140625" style="1"/>
    <col min="8449" max="8449" width="82.28515625" style="1" customWidth="1"/>
    <col min="8450" max="8450" width="9.85546875" style="1" customWidth="1"/>
    <col min="8451" max="8451" width="25.7109375" style="1" customWidth="1"/>
    <col min="8452" max="8452" width="22.85546875" style="1" customWidth="1"/>
    <col min="8453" max="8454" width="25.7109375" style="1" customWidth="1"/>
    <col min="8455" max="8455" width="23.140625" style="1" customWidth="1"/>
    <col min="8456" max="8456" width="18.28515625" style="1" customWidth="1"/>
    <col min="8457" max="8457" width="9.5703125" style="1" customWidth="1"/>
    <col min="8458" max="8458" width="9.85546875" style="1" customWidth="1"/>
    <col min="8459" max="8704" width="9.140625" style="1"/>
    <col min="8705" max="8705" width="82.28515625" style="1" customWidth="1"/>
    <col min="8706" max="8706" width="9.85546875" style="1" customWidth="1"/>
    <col min="8707" max="8707" width="25.7109375" style="1" customWidth="1"/>
    <col min="8708" max="8708" width="22.85546875" style="1" customWidth="1"/>
    <col min="8709" max="8710" width="25.7109375" style="1" customWidth="1"/>
    <col min="8711" max="8711" width="23.140625" style="1" customWidth="1"/>
    <col min="8712" max="8712" width="18.28515625" style="1" customWidth="1"/>
    <col min="8713" max="8713" width="9.5703125" style="1" customWidth="1"/>
    <col min="8714" max="8714" width="9.85546875" style="1" customWidth="1"/>
    <col min="8715" max="8960" width="9.140625" style="1"/>
    <col min="8961" max="8961" width="82.28515625" style="1" customWidth="1"/>
    <col min="8962" max="8962" width="9.85546875" style="1" customWidth="1"/>
    <col min="8963" max="8963" width="25.7109375" style="1" customWidth="1"/>
    <col min="8964" max="8964" width="22.85546875" style="1" customWidth="1"/>
    <col min="8965" max="8966" width="25.7109375" style="1" customWidth="1"/>
    <col min="8967" max="8967" width="23.140625" style="1" customWidth="1"/>
    <col min="8968" max="8968" width="18.28515625" style="1" customWidth="1"/>
    <col min="8969" max="8969" width="9.5703125" style="1" customWidth="1"/>
    <col min="8970" max="8970" width="9.85546875" style="1" customWidth="1"/>
    <col min="8971" max="9216" width="9.140625" style="1"/>
    <col min="9217" max="9217" width="82.28515625" style="1" customWidth="1"/>
    <col min="9218" max="9218" width="9.85546875" style="1" customWidth="1"/>
    <col min="9219" max="9219" width="25.7109375" style="1" customWidth="1"/>
    <col min="9220" max="9220" width="22.85546875" style="1" customWidth="1"/>
    <col min="9221" max="9222" width="25.7109375" style="1" customWidth="1"/>
    <col min="9223" max="9223" width="23.140625" style="1" customWidth="1"/>
    <col min="9224" max="9224" width="18.28515625" style="1" customWidth="1"/>
    <col min="9225" max="9225" width="9.5703125" style="1" customWidth="1"/>
    <col min="9226" max="9226" width="9.85546875" style="1" customWidth="1"/>
    <col min="9227" max="9472" width="9.140625" style="1"/>
    <col min="9473" max="9473" width="82.28515625" style="1" customWidth="1"/>
    <col min="9474" max="9474" width="9.85546875" style="1" customWidth="1"/>
    <col min="9475" max="9475" width="25.7109375" style="1" customWidth="1"/>
    <col min="9476" max="9476" width="22.85546875" style="1" customWidth="1"/>
    <col min="9477" max="9478" width="25.7109375" style="1" customWidth="1"/>
    <col min="9479" max="9479" width="23.140625" style="1" customWidth="1"/>
    <col min="9480" max="9480" width="18.28515625" style="1" customWidth="1"/>
    <col min="9481" max="9481" width="9.5703125" style="1" customWidth="1"/>
    <col min="9482" max="9482" width="9.85546875" style="1" customWidth="1"/>
    <col min="9483" max="9728" width="9.140625" style="1"/>
    <col min="9729" max="9729" width="82.28515625" style="1" customWidth="1"/>
    <col min="9730" max="9730" width="9.85546875" style="1" customWidth="1"/>
    <col min="9731" max="9731" width="25.7109375" style="1" customWidth="1"/>
    <col min="9732" max="9732" width="22.85546875" style="1" customWidth="1"/>
    <col min="9733" max="9734" width="25.7109375" style="1" customWidth="1"/>
    <col min="9735" max="9735" width="23.140625" style="1" customWidth="1"/>
    <col min="9736" max="9736" width="18.28515625" style="1" customWidth="1"/>
    <col min="9737" max="9737" width="9.5703125" style="1" customWidth="1"/>
    <col min="9738" max="9738" width="9.85546875" style="1" customWidth="1"/>
    <col min="9739" max="9984" width="9.140625" style="1"/>
    <col min="9985" max="9985" width="82.28515625" style="1" customWidth="1"/>
    <col min="9986" max="9986" width="9.85546875" style="1" customWidth="1"/>
    <col min="9987" max="9987" width="25.7109375" style="1" customWidth="1"/>
    <col min="9988" max="9988" width="22.85546875" style="1" customWidth="1"/>
    <col min="9989" max="9990" width="25.7109375" style="1" customWidth="1"/>
    <col min="9991" max="9991" width="23.140625" style="1" customWidth="1"/>
    <col min="9992" max="9992" width="18.28515625" style="1" customWidth="1"/>
    <col min="9993" max="9993" width="9.5703125" style="1" customWidth="1"/>
    <col min="9994" max="9994" width="9.85546875" style="1" customWidth="1"/>
    <col min="9995" max="10240" width="9.140625" style="1"/>
    <col min="10241" max="10241" width="82.28515625" style="1" customWidth="1"/>
    <col min="10242" max="10242" width="9.85546875" style="1" customWidth="1"/>
    <col min="10243" max="10243" width="25.7109375" style="1" customWidth="1"/>
    <col min="10244" max="10244" width="22.85546875" style="1" customWidth="1"/>
    <col min="10245" max="10246" width="25.7109375" style="1" customWidth="1"/>
    <col min="10247" max="10247" width="23.140625" style="1" customWidth="1"/>
    <col min="10248" max="10248" width="18.28515625" style="1" customWidth="1"/>
    <col min="10249" max="10249" width="9.5703125" style="1" customWidth="1"/>
    <col min="10250" max="10250" width="9.85546875" style="1" customWidth="1"/>
    <col min="10251" max="10496" width="9.140625" style="1"/>
    <col min="10497" max="10497" width="82.28515625" style="1" customWidth="1"/>
    <col min="10498" max="10498" width="9.85546875" style="1" customWidth="1"/>
    <col min="10499" max="10499" width="25.7109375" style="1" customWidth="1"/>
    <col min="10500" max="10500" width="22.85546875" style="1" customWidth="1"/>
    <col min="10501" max="10502" width="25.7109375" style="1" customWidth="1"/>
    <col min="10503" max="10503" width="23.140625" style="1" customWidth="1"/>
    <col min="10504" max="10504" width="18.28515625" style="1" customWidth="1"/>
    <col min="10505" max="10505" width="9.5703125" style="1" customWidth="1"/>
    <col min="10506" max="10506" width="9.85546875" style="1" customWidth="1"/>
    <col min="10507" max="10752" width="9.140625" style="1"/>
    <col min="10753" max="10753" width="82.28515625" style="1" customWidth="1"/>
    <col min="10754" max="10754" width="9.85546875" style="1" customWidth="1"/>
    <col min="10755" max="10755" width="25.7109375" style="1" customWidth="1"/>
    <col min="10756" max="10756" width="22.85546875" style="1" customWidth="1"/>
    <col min="10757" max="10758" width="25.7109375" style="1" customWidth="1"/>
    <col min="10759" max="10759" width="23.140625" style="1" customWidth="1"/>
    <col min="10760" max="10760" width="18.28515625" style="1" customWidth="1"/>
    <col min="10761" max="10761" width="9.5703125" style="1" customWidth="1"/>
    <col min="10762" max="10762" width="9.85546875" style="1" customWidth="1"/>
    <col min="10763" max="11008" width="9.140625" style="1"/>
    <col min="11009" max="11009" width="82.28515625" style="1" customWidth="1"/>
    <col min="11010" max="11010" width="9.85546875" style="1" customWidth="1"/>
    <col min="11011" max="11011" width="25.7109375" style="1" customWidth="1"/>
    <col min="11012" max="11012" width="22.85546875" style="1" customWidth="1"/>
    <col min="11013" max="11014" width="25.7109375" style="1" customWidth="1"/>
    <col min="11015" max="11015" width="23.140625" style="1" customWidth="1"/>
    <col min="11016" max="11016" width="18.28515625" style="1" customWidth="1"/>
    <col min="11017" max="11017" width="9.5703125" style="1" customWidth="1"/>
    <col min="11018" max="11018" width="9.85546875" style="1" customWidth="1"/>
    <col min="11019" max="11264" width="9.140625" style="1"/>
    <col min="11265" max="11265" width="82.28515625" style="1" customWidth="1"/>
    <col min="11266" max="11266" width="9.85546875" style="1" customWidth="1"/>
    <col min="11267" max="11267" width="25.7109375" style="1" customWidth="1"/>
    <col min="11268" max="11268" width="22.85546875" style="1" customWidth="1"/>
    <col min="11269" max="11270" width="25.7109375" style="1" customWidth="1"/>
    <col min="11271" max="11271" width="23.140625" style="1" customWidth="1"/>
    <col min="11272" max="11272" width="18.28515625" style="1" customWidth="1"/>
    <col min="11273" max="11273" width="9.5703125" style="1" customWidth="1"/>
    <col min="11274" max="11274" width="9.85546875" style="1" customWidth="1"/>
    <col min="11275" max="11520" width="9.140625" style="1"/>
    <col min="11521" max="11521" width="82.28515625" style="1" customWidth="1"/>
    <col min="11522" max="11522" width="9.85546875" style="1" customWidth="1"/>
    <col min="11523" max="11523" width="25.7109375" style="1" customWidth="1"/>
    <col min="11524" max="11524" width="22.85546875" style="1" customWidth="1"/>
    <col min="11525" max="11526" width="25.7109375" style="1" customWidth="1"/>
    <col min="11527" max="11527" width="23.140625" style="1" customWidth="1"/>
    <col min="11528" max="11528" width="18.28515625" style="1" customWidth="1"/>
    <col min="11529" max="11529" width="9.5703125" style="1" customWidth="1"/>
    <col min="11530" max="11530" width="9.85546875" style="1" customWidth="1"/>
    <col min="11531" max="11776" width="9.140625" style="1"/>
    <col min="11777" max="11777" width="82.28515625" style="1" customWidth="1"/>
    <col min="11778" max="11778" width="9.85546875" style="1" customWidth="1"/>
    <col min="11779" max="11779" width="25.7109375" style="1" customWidth="1"/>
    <col min="11780" max="11780" width="22.85546875" style="1" customWidth="1"/>
    <col min="11781" max="11782" width="25.7109375" style="1" customWidth="1"/>
    <col min="11783" max="11783" width="23.140625" style="1" customWidth="1"/>
    <col min="11784" max="11784" width="18.28515625" style="1" customWidth="1"/>
    <col min="11785" max="11785" width="9.5703125" style="1" customWidth="1"/>
    <col min="11786" max="11786" width="9.85546875" style="1" customWidth="1"/>
    <col min="11787" max="12032" width="9.140625" style="1"/>
    <col min="12033" max="12033" width="82.28515625" style="1" customWidth="1"/>
    <col min="12034" max="12034" width="9.85546875" style="1" customWidth="1"/>
    <col min="12035" max="12035" width="25.7109375" style="1" customWidth="1"/>
    <col min="12036" max="12036" width="22.85546875" style="1" customWidth="1"/>
    <col min="12037" max="12038" width="25.7109375" style="1" customWidth="1"/>
    <col min="12039" max="12039" width="23.140625" style="1" customWidth="1"/>
    <col min="12040" max="12040" width="18.28515625" style="1" customWidth="1"/>
    <col min="12041" max="12041" width="9.5703125" style="1" customWidth="1"/>
    <col min="12042" max="12042" width="9.85546875" style="1" customWidth="1"/>
    <col min="12043" max="12288" width="9.140625" style="1"/>
    <col min="12289" max="12289" width="82.28515625" style="1" customWidth="1"/>
    <col min="12290" max="12290" width="9.85546875" style="1" customWidth="1"/>
    <col min="12291" max="12291" width="25.7109375" style="1" customWidth="1"/>
    <col min="12292" max="12292" width="22.85546875" style="1" customWidth="1"/>
    <col min="12293" max="12294" width="25.7109375" style="1" customWidth="1"/>
    <col min="12295" max="12295" width="23.140625" style="1" customWidth="1"/>
    <col min="12296" max="12296" width="18.28515625" style="1" customWidth="1"/>
    <col min="12297" max="12297" width="9.5703125" style="1" customWidth="1"/>
    <col min="12298" max="12298" width="9.85546875" style="1" customWidth="1"/>
    <col min="12299" max="12544" width="9.140625" style="1"/>
    <col min="12545" max="12545" width="82.28515625" style="1" customWidth="1"/>
    <col min="12546" max="12546" width="9.85546875" style="1" customWidth="1"/>
    <col min="12547" max="12547" width="25.7109375" style="1" customWidth="1"/>
    <col min="12548" max="12548" width="22.85546875" style="1" customWidth="1"/>
    <col min="12549" max="12550" width="25.7109375" style="1" customWidth="1"/>
    <col min="12551" max="12551" width="23.140625" style="1" customWidth="1"/>
    <col min="12552" max="12552" width="18.28515625" style="1" customWidth="1"/>
    <col min="12553" max="12553" width="9.5703125" style="1" customWidth="1"/>
    <col min="12554" max="12554" width="9.85546875" style="1" customWidth="1"/>
    <col min="12555" max="12800" width="9.140625" style="1"/>
    <col min="12801" max="12801" width="82.28515625" style="1" customWidth="1"/>
    <col min="12802" max="12802" width="9.85546875" style="1" customWidth="1"/>
    <col min="12803" max="12803" width="25.7109375" style="1" customWidth="1"/>
    <col min="12804" max="12804" width="22.85546875" style="1" customWidth="1"/>
    <col min="12805" max="12806" width="25.7109375" style="1" customWidth="1"/>
    <col min="12807" max="12807" width="23.140625" style="1" customWidth="1"/>
    <col min="12808" max="12808" width="18.28515625" style="1" customWidth="1"/>
    <col min="12809" max="12809" width="9.5703125" style="1" customWidth="1"/>
    <col min="12810" max="12810" width="9.85546875" style="1" customWidth="1"/>
    <col min="12811" max="13056" width="9.140625" style="1"/>
    <col min="13057" max="13057" width="82.28515625" style="1" customWidth="1"/>
    <col min="13058" max="13058" width="9.85546875" style="1" customWidth="1"/>
    <col min="13059" max="13059" width="25.7109375" style="1" customWidth="1"/>
    <col min="13060" max="13060" width="22.85546875" style="1" customWidth="1"/>
    <col min="13061" max="13062" width="25.7109375" style="1" customWidth="1"/>
    <col min="13063" max="13063" width="23.140625" style="1" customWidth="1"/>
    <col min="13064" max="13064" width="18.28515625" style="1" customWidth="1"/>
    <col min="13065" max="13065" width="9.5703125" style="1" customWidth="1"/>
    <col min="13066" max="13066" width="9.85546875" style="1" customWidth="1"/>
    <col min="13067" max="13312" width="9.140625" style="1"/>
    <col min="13313" max="13313" width="82.28515625" style="1" customWidth="1"/>
    <col min="13314" max="13314" width="9.85546875" style="1" customWidth="1"/>
    <col min="13315" max="13315" width="25.7109375" style="1" customWidth="1"/>
    <col min="13316" max="13316" width="22.85546875" style="1" customWidth="1"/>
    <col min="13317" max="13318" width="25.7109375" style="1" customWidth="1"/>
    <col min="13319" max="13319" width="23.140625" style="1" customWidth="1"/>
    <col min="13320" max="13320" width="18.28515625" style="1" customWidth="1"/>
    <col min="13321" max="13321" width="9.5703125" style="1" customWidth="1"/>
    <col min="13322" max="13322" width="9.85546875" style="1" customWidth="1"/>
    <col min="13323" max="13568" width="9.140625" style="1"/>
    <col min="13569" max="13569" width="82.28515625" style="1" customWidth="1"/>
    <col min="13570" max="13570" width="9.85546875" style="1" customWidth="1"/>
    <col min="13571" max="13571" width="25.7109375" style="1" customWidth="1"/>
    <col min="13572" max="13572" width="22.85546875" style="1" customWidth="1"/>
    <col min="13573" max="13574" width="25.7109375" style="1" customWidth="1"/>
    <col min="13575" max="13575" width="23.140625" style="1" customWidth="1"/>
    <col min="13576" max="13576" width="18.28515625" style="1" customWidth="1"/>
    <col min="13577" max="13577" width="9.5703125" style="1" customWidth="1"/>
    <col min="13578" max="13578" width="9.85546875" style="1" customWidth="1"/>
    <col min="13579" max="13824" width="9.140625" style="1"/>
    <col min="13825" max="13825" width="82.28515625" style="1" customWidth="1"/>
    <col min="13826" max="13826" width="9.85546875" style="1" customWidth="1"/>
    <col min="13827" max="13827" width="25.7109375" style="1" customWidth="1"/>
    <col min="13828" max="13828" width="22.85546875" style="1" customWidth="1"/>
    <col min="13829" max="13830" width="25.7109375" style="1" customWidth="1"/>
    <col min="13831" max="13831" width="23.140625" style="1" customWidth="1"/>
    <col min="13832" max="13832" width="18.28515625" style="1" customWidth="1"/>
    <col min="13833" max="13833" width="9.5703125" style="1" customWidth="1"/>
    <col min="13834" max="13834" width="9.85546875" style="1" customWidth="1"/>
    <col min="13835" max="14080" width="9.140625" style="1"/>
    <col min="14081" max="14081" width="82.28515625" style="1" customWidth="1"/>
    <col min="14082" max="14082" width="9.85546875" style="1" customWidth="1"/>
    <col min="14083" max="14083" width="25.7109375" style="1" customWidth="1"/>
    <col min="14084" max="14084" width="22.85546875" style="1" customWidth="1"/>
    <col min="14085" max="14086" width="25.7109375" style="1" customWidth="1"/>
    <col min="14087" max="14087" width="23.140625" style="1" customWidth="1"/>
    <col min="14088" max="14088" width="18.28515625" style="1" customWidth="1"/>
    <col min="14089" max="14089" width="9.5703125" style="1" customWidth="1"/>
    <col min="14090" max="14090" width="9.85546875" style="1" customWidth="1"/>
    <col min="14091" max="14336" width="9.140625" style="1"/>
    <col min="14337" max="14337" width="82.28515625" style="1" customWidth="1"/>
    <col min="14338" max="14338" width="9.85546875" style="1" customWidth="1"/>
    <col min="14339" max="14339" width="25.7109375" style="1" customWidth="1"/>
    <col min="14340" max="14340" width="22.85546875" style="1" customWidth="1"/>
    <col min="14341" max="14342" width="25.7109375" style="1" customWidth="1"/>
    <col min="14343" max="14343" width="23.140625" style="1" customWidth="1"/>
    <col min="14344" max="14344" width="18.28515625" style="1" customWidth="1"/>
    <col min="14345" max="14345" width="9.5703125" style="1" customWidth="1"/>
    <col min="14346" max="14346" width="9.85546875" style="1" customWidth="1"/>
    <col min="14347" max="14592" width="9.140625" style="1"/>
    <col min="14593" max="14593" width="82.28515625" style="1" customWidth="1"/>
    <col min="14594" max="14594" width="9.85546875" style="1" customWidth="1"/>
    <col min="14595" max="14595" width="25.7109375" style="1" customWidth="1"/>
    <col min="14596" max="14596" width="22.85546875" style="1" customWidth="1"/>
    <col min="14597" max="14598" width="25.7109375" style="1" customWidth="1"/>
    <col min="14599" max="14599" width="23.140625" style="1" customWidth="1"/>
    <col min="14600" max="14600" width="18.28515625" style="1" customWidth="1"/>
    <col min="14601" max="14601" width="9.5703125" style="1" customWidth="1"/>
    <col min="14602" max="14602" width="9.85546875" style="1" customWidth="1"/>
    <col min="14603" max="14848" width="9.140625" style="1"/>
    <col min="14849" max="14849" width="82.28515625" style="1" customWidth="1"/>
    <col min="14850" max="14850" width="9.85546875" style="1" customWidth="1"/>
    <col min="14851" max="14851" width="25.7109375" style="1" customWidth="1"/>
    <col min="14852" max="14852" width="22.85546875" style="1" customWidth="1"/>
    <col min="14853" max="14854" width="25.7109375" style="1" customWidth="1"/>
    <col min="14855" max="14855" width="23.140625" style="1" customWidth="1"/>
    <col min="14856" max="14856" width="18.28515625" style="1" customWidth="1"/>
    <col min="14857" max="14857" width="9.5703125" style="1" customWidth="1"/>
    <col min="14858" max="14858" width="9.85546875" style="1" customWidth="1"/>
    <col min="14859" max="15104" width="9.140625" style="1"/>
    <col min="15105" max="15105" width="82.28515625" style="1" customWidth="1"/>
    <col min="15106" max="15106" width="9.85546875" style="1" customWidth="1"/>
    <col min="15107" max="15107" width="25.7109375" style="1" customWidth="1"/>
    <col min="15108" max="15108" width="22.85546875" style="1" customWidth="1"/>
    <col min="15109" max="15110" width="25.7109375" style="1" customWidth="1"/>
    <col min="15111" max="15111" width="23.140625" style="1" customWidth="1"/>
    <col min="15112" max="15112" width="18.28515625" style="1" customWidth="1"/>
    <col min="15113" max="15113" width="9.5703125" style="1" customWidth="1"/>
    <col min="15114" max="15114" width="9.85546875" style="1" customWidth="1"/>
    <col min="15115" max="15360" width="9.140625" style="1"/>
    <col min="15361" max="15361" width="82.28515625" style="1" customWidth="1"/>
    <col min="15362" max="15362" width="9.85546875" style="1" customWidth="1"/>
    <col min="15363" max="15363" width="25.7109375" style="1" customWidth="1"/>
    <col min="15364" max="15364" width="22.85546875" style="1" customWidth="1"/>
    <col min="15365" max="15366" width="25.7109375" style="1" customWidth="1"/>
    <col min="15367" max="15367" width="23.140625" style="1" customWidth="1"/>
    <col min="15368" max="15368" width="18.28515625" style="1" customWidth="1"/>
    <col min="15369" max="15369" width="9.5703125" style="1" customWidth="1"/>
    <col min="15370" max="15370" width="9.85546875" style="1" customWidth="1"/>
    <col min="15371" max="15616" width="9.140625" style="1"/>
    <col min="15617" max="15617" width="82.28515625" style="1" customWidth="1"/>
    <col min="15618" max="15618" width="9.85546875" style="1" customWidth="1"/>
    <col min="15619" max="15619" width="25.7109375" style="1" customWidth="1"/>
    <col min="15620" max="15620" width="22.85546875" style="1" customWidth="1"/>
    <col min="15621" max="15622" width="25.7109375" style="1" customWidth="1"/>
    <col min="15623" max="15623" width="23.140625" style="1" customWidth="1"/>
    <col min="15624" max="15624" width="18.28515625" style="1" customWidth="1"/>
    <col min="15625" max="15625" width="9.5703125" style="1" customWidth="1"/>
    <col min="15626" max="15626" width="9.85546875" style="1" customWidth="1"/>
    <col min="15627" max="15872" width="9.140625" style="1"/>
    <col min="15873" max="15873" width="82.28515625" style="1" customWidth="1"/>
    <col min="15874" max="15874" width="9.85546875" style="1" customWidth="1"/>
    <col min="15875" max="15875" width="25.7109375" style="1" customWidth="1"/>
    <col min="15876" max="15876" width="22.85546875" style="1" customWidth="1"/>
    <col min="15877" max="15878" width="25.7109375" style="1" customWidth="1"/>
    <col min="15879" max="15879" width="23.140625" style="1" customWidth="1"/>
    <col min="15880" max="15880" width="18.28515625" style="1" customWidth="1"/>
    <col min="15881" max="15881" width="9.5703125" style="1" customWidth="1"/>
    <col min="15882" max="15882" width="9.85546875" style="1" customWidth="1"/>
    <col min="15883" max="16128" width="9.140625" style="1"/>
    <col min="16129" max="16129" width="82.28515625" style="1" customWidth="1"/>
    <col min="16130" max="16130" width="9.85546875" style="1" customWidth="1"/>
    <col min="16131" max="16131" width="25.7109375" style="1" customWidth="1"/>
    <col min="16132" max="16132" width="22.85546875" style="1" customWidth="1"/>
    <col min="16133" max="16134" width="25.7109375" style="1" customWidth="1"/>
    <col min="16135" max="16135" width="23.140625" style="1" customWidth="1"/>
    <col min="16136" max="16136" width="18.28515625" style="1" customWidth="1"/>
    <col min="16137" max="16137" width="9.5703125" style="1" customWidth="1"/>
    <col min="16138" max="16138" width="9.85546875" style="1" customWidth="1"/>
    <col min="16139" max="16384" width="9.140625" style="1"/>
  </cols>
  <sheetData>
    <row r="1" spans="1:15" hidden="1" outlineLevel="1" x14ac:dyDescent="0.25">
      <c r="H1" s="102" t="s">
        <v>0</v>
      </c>
    </row>
    <row r="2" spans="1:15" hidden="1" outlineLevel="1" x14ac:dyDescent="0.25">
      <c r="H2" s="102" t="s">
        <v>200</v>
      </c>
    </row>
    <row r="3" spans="1:15" collapsed="1" x14ac:dyDescent="0.25">
      <c r="A3" s="256" t="s">
        <v>201</v>
      </c>
      <c r="B3" s="256"/>
      <c r="C3" s="256"/>
      <c r="D3" s="256"/>
      <c r="E3" s="256"/>
      <c r="F3" s="256"/>
      <c r="G3" s="256"/>
      <c r="H3" s="256"/>
      <c r="I3" s="267">
        <v>35</v>
      </c>
    </row>
    <row r="4" spans="1:15" ht="50.25" customHeight="1" x14ac:dyDescent="0.25">
      <c r="A4" s="293" t="s">
        <v>200</v>
      </c>
      <c r="B4" s="293"/>
      <c r="C4" s="293"/>
      <c r="D4" s="293"/>
      <c r="E4" s="293"/>
      <c r="F4" s="293"/>
      <c r="G4" s="293"/>
      <c r="H4" s="293"/>
      <c r="I4" s="267"/>
    </row>
    <row r="5" spans="1:15" ht="43.5" customHeight="1" x14ac:dyDescent="0.25">
      <c r="A5" s="294" t="s">
        <v>97</v>
      </c>
      <c r="B5" s="259" t="s">
        <v>4</v>
      </c>
      <c r="C5" s="259" t="s">
        <v>5</v>
      </c>
      <c r="D5" s="259"/>
      <c r="E5" s="260" t="s">
        <v>315</v>
      </c>
      <c r="F5" s="260"/>
      <c r="G5" s="260"/>
      <c r="H5" s="260"/>
      <c r="I5" s="267"/>
    </row>
    <row r="6" spans="1:15" ht="78.75" customHeight="1" x14ac:dyDescent="0.25">
      <c r="A6" s="295"/>
      <c r="B6" s="259"/>
      <c r="C6" s="220" t="s">
        <v>455</v>
      </c>
      <c r="D6" s="220" t="s">
        <v>456</v>
      </c>
      <c r="E6" s="220" t="s">
        <v>457</v>
      </c>
      <c r="F6" s="220" t="s">
        <v>458</v>
      </c>
      <c r="G6" s="4" t="s">
        <v>7</v>
      </c>
      <c r="H6" s="4" t="s">
        <v>8</v>
      </c>
      <c r="I6" s="267"/>
    </row>
    <row r="7" spans="1:15" ht="15.75" customHeight="1" x14ac:dyDescent="0.25">
      <c r="A7" s="219">
        <v>1</v>
      </c>
      <c r="B7" s="220">
        <v>2</v>
      </c>
      <c r="C7" s="219">
        <v>3</v>
      </c>
      <c r="D7" s="220">
        <v>4</v>
      </c>
      <c r="E7" s="219">
        <v>5</v>
      </c>
      <c r="F7" s="220">
        <v>6</v>
      </c>
      <c r="G7" s="170">
        <v>7</v>
      </c>
      <c r="H7" s="158">
        <v>8</v>
      </c>
      <c r="I7" s="267"/>
    </row>
    <row r="8" spans="1:15" s="78" customFormat="1" ht="42.75" customHeight="1" x14ac:dyDescent="0.25">
      <c r="A8" s="5" t="s">
        <v>202</v>
      </c>
      <c r="B8" s="33">
        <v>4000</v>
      </c>
      <c r="C8" s="7">
        <f>SUM(C9:C13)</f>
        <v>84</v>
      </c>
      <c r="D8" s="7">
        <f>F8</f>
        <v>42</v>
      </c>
      <c r="E8" s="7">
        <f>SUM(E9:E13)</f>
        <v>15600</v>
      </c>
      <c r="F8" s="7">
        <f>SUM(F9:F13)</f>
        <v>42</v>
      </c>
      <c r="G8" s="7">
        <f>F8-E8</f>
        <v>-15558</v>
      </c>
      <c r="H8" s="7">
        <f>F8*100/E8</f>
        <v>0.26923076923076922</v>
      </c>
      <c r="I8" s="267"/>
    </row>
    <row r="9" spans="1:15" ht="20.100000000000001" customHeight="1" x14ac:dyDescent="0.25">
      <c r="A9" s="5" t="s">
        <v>203</v>
      </c>
      <c r="B9" s="34" t="s">
        <v>204</v>
      </c>
      <c r="C9" s="224">
        <v>0</v>
      </c>
      <c r="D9" s="7">
        <f t="shared" ref="D9:D13" si="0">F9</f>
        <v>0</v>
      </c>
      <c r="E9" s="224">
        <v>0</v>
      </c>
      <c r="F9" s="224">
        <v>0</v>
      </c>
      <c r="G9" s="7">
        <f t="shared" ref="G9:G13" si="1">F9-E9</f>
        <v>0</v>
      </c>
      <c r="H9" s="7">
        <v>0</v>
      </c>
      <c r="I9" s="267"/>
    </row>
    <row r="10" spans="1:15" ht="20.100000000000001" customHeight="1" x14ac:dyDescent="0.25">
      <c r="A10" s="5" t="s">
        <v>205</v>
      </c>
      <c r="B10" s="33">
        <v>4020</v>
      </c>
      <c r="C10" s="7">
        <v>35</v>
      </c>
      <c r="D10" s="7">
        <f t="shared" si="0"/>
        <v>28</v>
      </c>
      <c r="E10" s="7">
        <f>15600</f>
        <v>15600</v>
      </c>
      <c r="F10" s="7">
        <v>28</v>
      </c>
      <c r="G10" s="7">
        <f t="shared" si="1"/>
        <v>-15572</v>
      </c>
      <c r="H10" s="7">
        <f>F10*100/E10</f>
        <v>0.17948717948717949</v>
      </c>
      <c r="I10" s="267"/>
      <c r="O10" s="28"/>
    </row>
    <row r="11" spans="1:15" ht="19.5" customHeight="1" x14ac:dyDescent="0.25">
      <c r="A11" s="5" t="s">
        <v>206</v>
      </c>
      <c r="B11" s="34">
        <v>4030</v>
      </c>
      <c r="C11" s="224">
        <v>11</v>
      </c>
      <c r="D11" s="7">
        <f t="shared" si="0"/>
        <v>14</v>
      </c>
      <c r="E11" s="224">
        <v>0</v>
      </c>
      <c r="F11" s="224">
        <v>14</v>
      </c>
      <c r="G11" s="7">
        <f t="shared" si="1"/>
        <v>14</v>
      </c>
      <c r="H11" s="7">
        <v>0</v>
      </c>
      <c r="I11" s="267"/>
      <c r="N11" s="28"/>
    </row>
    <row r="12" spans="1:15" ht="20.100000000000001" customHeight="1" x14ac:dyDescent="0.25">
      <c r="A12" s="5" t="s">
        <v>207</v>
      </c>
      <c r="B12" s="33">
        <v>4040</v>
      </c>
      <c r="C12" s="7">
        <v>0</v>
      </c>
      <c r="D12" s="7">
        <f t="shared" si="0"/>
        <v>0</v>
      </c>
      <c r="E12" s="7">
        <v>0</v>
      </c>
      <c r="F12" s="7">
        <f>2.8-2.8</f>
        <v>0</v>
      </c>
      <c r="G12" s="7">
        <f t="shared" si="1"/>
        <v>0</v>
      </c>
      <c r="H12" s="7">
        <v>0</v>
      </c>
      <c r="I12" s="267"/>
    </row>
    <row r="13" spans="1:15" ht="42.75" customHeight="1" x14ac:dyDescent="0.25">
      <c r="A13" s="5" t="s">
        <v>208</v>
      </c>
      <c r="B13" s="34">
        <v>4050</v>
      </c>
      <c r="C13" s="224">
        <v>38</v>
      </c>
      <c r="D13" s="7">
        <f t="shared" si="0"/>
        <v>0</v>
      </c>
      <c r="E13" s="224">
        <v>0</v>
      </c>
      <c r="F13" s="224">
        <v>0</v>
      </c>
      <c r="G13" s="7">
        <f t="shared" si="1"/>
        <v>0</v>
      </c>
      <c r="H13" s="7">
        <v>0</v>
      </c>
      <c r="I13" s="267"/>
    </row>
    <row r="14" spans="1:15" x14ac:dyDescent="0.25">
      <c r="B14" s="1"/>
      <c r="C14" s="1"/>
      <c r="D14" s="1"/>
      <c r="E14" s="1"/>
      <c r="F14" s="1"/>
      <c r="G14" s="1"/>
      <c r="H14" s="1"/>
      <c r="I14" s="267"/>
    </row>
    <row r="15" spans="1:15" x14ac:dyDescent="0.25">
      <c r="B15" s="1"/>
      <c r="C15" s="1"/>
      <c r="D15" s="1"/>
      <c r="E15" s="1"/>
      <c r="F15" s="1"/>
      <c r="G15" s="1"/>
      <c r="H15" s="1"/>
      <c r="I15" s="267"/>
    </row>
    <row r="16" spans="1:15" s="79" customFormat="1" ht="19.5" customHeight="1" x14ac:dyDescent="0.25">
      <c r="A16" s="226"/>
      <c r="I16" s="267"/>
    </row>
    <row r="17" spans="1:9" ht="27.75" customHeight="1" x14ac:dyDescent="0.25">
      <c r="A17" s="13" t="s">
        <v>209</v>
      </c>
      <c r="B17" s="15"/>
      <c r="C17" s="246" t="s">
        <v>140</v>
      </c>
      <c r="D17" s="246"/>
      <c r="E17" s="143"/>
      <c r="F17" s="247" t="s">
        <v>317</v>
      </c>
      <c r="G17" s="247"/>
      <c r="H17" s="247"/>
      <c r="I17" s="267"/>
    </row>
    <row r="18" spans="1:9" s="79" customFormat="1" x14ac:dyDescent="0.25">
      <c r="A18" s="218" t="s">
        <v>210</v>
      </c>
      <c r="B18" s="1"/>
      <c r="C18" s="248" t="s">
        <v>198</v>
      </c>
      <c r="D18" s="248"/>
      <c r="E18" s="1"/>
      <c r="F18" s="291" t="s">
        <v>199</v>
      </c>
      <c r="G18" s="291"/>
      <c r="H18" s="291"/>
      <c r="I18" s="267"/>
    </row>
    <row r="19" spans="1:9" x14ac:dyDescent="0.25">
      <c r="A19" s="16"/>
      <c r="I19" s="267"/>
    </row>
    <row r="20" spans="1:9" x14ac:dyDescent="0.25">
      <c r="A20" s="16"/>
      <c r="I20" s="267"/>
    </row>
    <row r="21" spans="1:9" x14ac:dyDescent="0.25">
      <c r="A21" s="16"/>
      <c r="I21" s="267"/>
    </row>
    <row r="22" spans="1:9" x14ac:dyDescent="0.25">
      <c r="A22" s="16"/>
      <c r="I22" s="267"/>
    </row>
    <row r="23" spans="1:9" x14ac:dyDescent="0.25">
      <c r="A23" s="16"/>
      <c r="I23" s="267"/>
    </row>
    <row r="24" spans="1:9" x14ac:dyDescent="0.25">
      <c r="A24" s="16"/>
      <c r="I24" s="267"/>
    </row>
    <row r="25" spans="1:9" x14ac:dyDescent="0.25">
      <c r="A25" s="16"/>
      <c r="I25" s="267"/>
    </row>
    <row r="26" spans="1:9" x14ac:dyDescent="0.25">
      <c r="A26" s="16"/>
      <c r="I26" s="267"/>
    </row>
    <row r="27" spans="1:9" x14ac:dyDescent="0.25">
      <c r="A27" s="16"/>
      <c r="I27" s="267"/>
    </row>
    <row r="28" spans="1:9" x14ac:dyDescent="0.25">
      <c r="A28" s="16"/>
      <c r="I28" s="267"/>
    </row>
    <row r="29" spans="1:9" x14ac:dyDescent="0.25">
      <c r="A29" s="16"/>
      <c r="I29" s="267"/>
    </row>
    <row r="30" spans="1:9" x14ac:dyDescent="0.25">
      <c r="A30" s="16"/>
      <c r="I30" s="267"/>
    </row>
    <row r="31" spans="1:9" x14ac:dyDescent="0.25">
      <c r="A31" s="16"/>
      <c r="I31" s="267"/>
    </row>
    <row r="32" spans="1:9" x14ac:dyDescent="0.25">
      <c r="A32" s="16"/>
      <c r="I32" s="267"/>
    </row>
    <row r="33" spans="1:9" x14ac:dyDescent="0.25">
      <c r="A33" s="16"/>
      <c r="I33" s="267"/>
    </row>
    <row r="34" spans="1:9" x14ac:dyDescent="0.25">
      <c r="A34" s="16"/>
      <c r="I34" s="267"/>
    </row>
    <row r="35" spans="1:9" x14ac:dyDescent="0.25">
      <c r="A35" s="16"/>
      <c r="I35" s="267"/>
    </row>
    <row r="36" spans="1:9" x14ac:dyDescent="0.25">
      <c r="A36" s="16"/>
      <c r="I36" s="267"/>
    </row>
    <row r="37" spans="1:9" x14ac:dyDescent="0.25">
      <c r="A37" s="16"/>
      <c r="I37" s="267"/>
    </row>
    <row r="38" spans="1:9" x14ac:dyDescent="0.25">
      <c r="A38" s="16"/>
      <c r="I38" s="267"/>
    </row>
    <row r="39" spans="1:9" x14ac:dyDescent="0.25">
      <c r="A39" s="16"/>
      <c r="I39" s="267"/>
    </row>
    <row r="40" spans="1:9" x14ac:dyDescent="0.25">
      <c r="A40" s="16"/>
      <c r="I40" s="267"/>
    </row>
    <row r="41" spans="1:9" x14ac:dyDescent="0.25">
      <c r="A41" s="16"/>
      <c r="I41" s="267"/>
    </row>
    <row r="42" spans="1:9" x14ac:dyDescent="0.25">
      <c r="A42" s="16"/>
    </row>
    <row r="43" spans="1:9" x14ac:dyDescent="0.25">
      <c r="A43" s="16"/>
    </row>
    <row r="44" spans="1:9" x14ac:dyDescent="0.25">
      <c r="A44" s="16"/>
    </row>
    <row r="45" spans="1:9" x14ac:dyDescent="0.25">
      <c r="A45" s="16"/>
    </row>
    <row r="46" spans="1:9" x14ac:dyDescent="0.25">
      <c r="A46" s="16"/>
    </row>
    <row r="47" spans="1:9" x14ac:dyDescent="0.25">
      <c r="A47" s="16"/>
    </row>
    <row r="48" spans="1:9"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sheetData>
  <mergeCells count="11">
    <mergeCell ref="F18:H18"/>
    <mergeCell ref="A3:H3"/>
    <mergeCell ref="I3:I41"/>
    <mergeCell ref="A4:H4"/>
    <mergeCell ref="A5:A6"/>
    <mergeCell ref="B5:B6"/>
    <mergeCell ref="C5:D5"/>
    <mergeCell ref="E5:H5"/>
    <mergeCell ref="C17:D17"/>
    <mergeCell ref="F17:H17"/>
    <mergeCell ref="C18:D18"/>
  </mergeCells>
  <pageMargins left="0.51181102362204722" right="0.39370078740157483" top="0.74803149606299213" bottom="0.39370078740157483" header="0.31496062992125984" footer="0.31496062992125984"/>
  <pageSetup paperSize="9" scale="5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opLeftCell="A35" workbookViewId="0">
      <selection activeCell="D16" sqref="D16"/>
    </sheetView>
  </sheetViews>
  <sheetFormatPr defaultRowHeight="12.75" outlineLevelRow="1" x14ac:dyDescent="0.2"/>
  <cols>
    <col min="1" max="1" width="87.28515625" style="35" customWidth="1"/>
    <col min="2" max="2" width="16.85546875" style="35" customWidth="1"/>
    <col min="3" max="3" width="21.5703125" style="35" customWidth="1"/>
    <col min="4" max="4" width="20" style="35" customWidth="1"/>
    <col min="5" max="5" width="20.140625" style="35" customWidth="1"/>
    <col min="6" max="6" width="18.85546875" style="35" customWidth="1"/>
    <col min="7" max="7" width="19.5703125" style="35" customWidth="1"/>
    <col min="8" max="8" width="81.5703125" style="35" customWidth="1"/>
    <col min="9" max="9" width="9.5703125" style="35" customWidth="1"/>
    <col min="10" max="10" width="9.140625" style="35"/>
    <col min="11" max="11" width="27.140625" style="35" customWidth="1"/>
    <col min="12" max="256" width="9.140625" style="35"/>
    <col min="257" max="257" width="87.28515625" style="35" customWidth="1"/>
    <col min="258" max="258" width="19.42578125" style="35" customWidth="1"/>
    <col min="259" max="263" width="26" style="35" customWidth="1"/>
    <col min="264" max="264" width="81.5703125" style="35" customWidth="1"/>
    <col min="265" max="265" width="9.5703125" style="35" customWidth="1"/>
    <col min="266" max="266" width="9.140625" style="35"/>
    <col min="267" max="267" width="27.140625" style="35" customWidth="1"/>
    <col min="268" max="512" width="9.140625" style="35"/>
    <col min="513" max="513" width="87.28515625" style="35" customWidth="1"/>
    <col min="514" max="514" width="19.42578125" style="35" customWidth="1"/>
    <col min="515" max="519" width="26" style="35" customWidth="1"/>
    <col min="520" max="520" width="81.5703125" style="35" customWidth="1"/>
    <col min="521" max="521" width="9.5703125" style="35" customWidth="1"/>
    <col min="522" max="522" width="9.140625" style="35"/>
    <col min="523" max="523" width="27.140625" style="35" customWidth="1"/>
    <col min="524" max="768" width="9.140625" style="35"/>
    <col min="769" max="769" width="87.28515625" style="35" customWidth="1"/>
    <col min="770" max="770" width="19.42578125" style="35" customWidth="1"/>
    <col min="771" max="775" width="26" style="35" customWidth="1"/>
    <col min="776" max="776" width="81.5703125" style="35" customWidth="1"/>
    <col min="777" max="777" width="9.5703125" style="35" customWidth="1"/>
    <col min="778" max="778" width="9.140625" style="35"/>
    <col min="779" max="779" width="27.140625" style="35" customWidth="1"/>
    <col min="780" max="1024" width="9.140625" style="35"/>
    <col min="1025" max="1025" width="87.28515625" style="35" customWidth="1"/>
    <col min="1026" max="1026" width="19.42578125" style="35" customWidth="1"/>
    <col min="1027" max="1031" width="26" style="35" customWidth="1"/>
    <col min="1032" max="1032" width="81.5703125" style="35" customWidth="1"/>
    <col min="1033" max="1033" width="9.5703125" style="35" customWidth="1"/>
    <col min="1034" max="1034" width="9.140625" style="35"/>
    <col min="1035" max="1035" width="27.140625" style="35" customWidth="1"/>
    <col min="1036" max="1280" width="9.140625" style="35"/>
    <col min="1281" max="1281" width="87.28515625" style="35" customWidth="1"/>
    <col min="1282" max="1282" width="19.42578125" style="35" customWidth="1"/>
    <col min="1283" max="1287" width="26" style="35" customWidth="1"/>
    <col min="1288" max="1288" width="81.5703125" style="35" customWidth="1"/>
    <col min="1289" max="1289" width="9.5703125" style="35" customWidth="1"/>
    <col min="1290" max="1290" width="9.140625" style="35"/>
    <col min="1291" max="1291" width="27.140625" style="35" customWidth="1"/>
    <col min="1292" max="1536" width="9.140625" style="35"/>
    <col min="1537" max="1537" width="87.28515625" style="35" customWidth="1"/>
    <col min="1538" max="1538" width="19.42578125" style="35" customWidth="1"/>
    <col min="1539" max="1543" width="26" style="35" customWidth="1"/>
    <col min="1544" max="1544" width="81.5703125" style="35" customWidth="1"/>
    <col min="1545" max="1545" width="9.5703125" style="35" customWidth="1"/>
    <col min="1546" max="1546" width="9.140625" style="35"/>
    <col min="1547" max="1547" width="27.140625" style="35" customWidth="1"/>
    <col min="1548" max="1792" width="9.140625" style="35"/>
    <col min="1793" max="1793" width="87.28515625" style="35" customWidth="1"/>
    <col min="1794" max="1794" width="19.42578125" style="35" customWidth="1"/>
    <col min="1795" max="1799" width="26" style="35" customWidth="1"/>
    <col min="1800" max="1800" width="81.5703125" style="35" customWidth="1"/>
    <col min="1801" max="1801" width="9.5703125" style="35" customWidth="1"/>
    <col min="1802" max="1802" width="9.140625" style="35"/>
    <col min="1803" max="1803" width="27.140625" style="35" customWidth="1"/>
    <col min="1804" max="2048" width="9.140625" style="35"/>
    <col min="2049" max="2049" width="87.28515625" style="35" customWidth="1"/>
    <col min="2050" max="2050" width="19.42578125" style="35" customWidth="1"/>
    <col min="2051" max="2055" width="26" style="35" customWidth="1"/>
    <col min="2056" max="2056" width="81.5703125" style="35" customWidth="1"/>
    <col min="2057" max="2057" width="9.5703125" style="35" customWidth="1"/>
    <col min="2058" max="2058" width="9.140625" style="35"/>
    <col min="2059" max="2059" width="27.140625" style="35" customWidth="1"/>
    <col min="2060" max="2304" width="9.140625" style="35"/>
    <col min="2305" max="2305" width="87.28515625" style="35" customWidth="1"/>
    <col min="2306" max="2306" width="19.42578125" style="35" customWidth="1"/>
    <col min="2307" max="2311" width="26" style="35" customWidth="1"/>
    <col min="2312" max="2312" width="81.5703125" style="35" customWidth="1"/>
    <col min="2313" max="2313" width="9.5703125" style="35" customWidth="1"/>
    <col min="2314" max="2314" width="9.140625" style="35"/>
    <col min="2315" max="2315" width="27.140625" style="35" customWidth="1"/>
    <col min="2316" max="2560" width="9.140625" style="35"/>
    <col min="2561" max="2561" width="87.28515625" style="35" customWidth="1"/>
    <col min="2562" max="2562" width="19.42578125" style="35" customWidth="1"/>
    <col min="2563" max="2567" width="26" style="35" customWidth="1"/>
    <col min="2568" max="2568" width="81.5703125" style="35" customWidth="1"/>
    <col min="2569" max="2569" width="9.5703125" style="35" customWidth="1"/>
    <col min="2570" max="2570" width="9.140625" style="35"/>
    <col min="2571" max="2571" width="27.140625" style="35" customWidth="1"/>
    <col min="2572" max="2816" width="9.140625" style="35"/>
    <col min="2817" max="2817" width="87.28515625" style="35" customWidth="1"/>
    <col min="2818" max="2818" width="19.42578125" style="35" customWidth="1"/>
    <col min="2819" max="2823" width="26" style="35" customWidth="1"/>
    <col min="2824" max="2824" width="81.5703125" style="35" customWidth="1"/>
    <col min="2825" max="2825" width="9.5703125" style="35" customWidth="1"/>
    <col min="2826" max="2826" width="9.140625" style="35"/>
    <col min="2827" max="2827" width="27.140625" style="35" customWidth="1"/>
    <col min="2828" max="3072" width="9.140625" style="35"/>
    <col min="3073" max="3073" width="87.28515625" style="35" customWidth="1"/>
    <col min="3074" max="3074" width="19.42578125" style="35" customWidth="1"/>
    <col min="3075" max="3079" width="26" style="35" customWidth="1"/>
    <col min="3080" max="3080" width="81.5703125" style="35" customWidth="1"/>
    <col min="3081" max="3081" width="9.5703125" style="35" customWidth="1"/>
    <col min="3082" max="3082" width="9.140625" style="35"/>
    <col min="3083" max="3083" width="27.140625" style="35" customWidth="1"/>
    <col min="3084" max="3328" width="9.140625" style="35"/>
    <col min="3329" max="3329" width="87.28515625" style="35" customWidth="1"/>
    <col min="3330" max="3330" width="19.42578125" style="35" customWidth="1"/>
    <col min="3331" max="3335" width="26" style="35" customWidth="1"/>
    <col min="3336" max="3336" width="81.5703125" style="35" customWidth="1"/>
    <col min="3337" max="3337" width="9.5703125" style="35" customWidth="1"/>
    <col min="3338" max="3338" width="9.140625" style="35"/>
    <col min="3339" max="3339" width="27.140625" style="35" customWidth="1"/>
    <col min="3340" max="3584" width="9.140625" style="35"/>
    <col min="3585" max="3585" width="87.28515625" style="35" customWidth="1"/>
    <col min="3586" max="3586" width="19.42578125" style="35" customWidth="1"/>
    <col min="3587" max="3591" width="26" style="35" customWidth="1"/>
    <col min="3592" max="3592" width="81.5703125" style="35" customWidth="1"/>
    <col min="3593" max="3593" width="9.5703125" style="35" customWidth="1"/>
    <col min="3594" max="3594" width="9.140625" style="35"/>
    <col min="3595" max="3595" width="27.140625" style="35" customWidth="1"/>
    <col min="3596" max="3840" width="9.140625" style="35"/>
    <col min="3841" max="3841" width="87.28515625" style="35" customWidth="1"/>
    <col min="3842" max="3842" width="19.42578125" style="35" customWidth="1"/>
    <col min="3843" max="3847" width="26" style="35" customWidth="1"/>
    <col min="3848" max="3848" width="81.5703125" style="35" customWidth="1"/>
    <col min="3849" max="3849" width="9.5703125" style="35" customWidth="1"/>
    <col min="3850" max="3850" width="9.140625" style="35"/>
    <col min="3851" max="3851" width="27.140625" style="35" customWidth="1"/>
    <col min="3852" max="4096" width="9.140625" style="35"/>
    <col min="4097" max="4097" width="87.28515625" style="35" customWidth="1"/>
    <col min="4098" max="4098" width="19.42578125" style="35" customWidth="1"/>
    <col min="4099" max="4103" width="26" style="35" customWidth="1"/>
    <col min="4104" max="4104" width="81.5703125" style="35" customWidth="1"/>
    <col min="4105" max="4105" width="9.5703125" style="35" customWidth="1"/>
    <col min="4106" max="4106" width="9.140625" style="35"/>
    <col min="4107" max="4107" width="27.140625" style="35" customWidth="1"/>
    <col min="4108" max="4352" width="9.140625" style="35"/>
    <col min="4353" max="4353" width="87.28515625" style="35" customWidth="1"/>
    <col min="4354" max="4354" width="19.42578125" style="35" customWidth="1"/>
    <col min="4355" max="4359" width="26" style="35" customWidth="1"/>
    <col min="4360" max="4360" width="81.5703125" style="35" customWidth="1"/>
    <col min="4361" max="4361" width="9.5703125" style="35" customWidth="1"/>
    <col min="4362" max="4362" width="9.140625" style="35"/>
    <col min="4363" max="4363" width="27.140625" style="35" customWidth="1"/>
    <col min="4364" max="4608" width="9.140625" style="35"/>
    <col min="4609" max="4609" width="87.28515625" style="35" customWidth="1"/>
    <col min="4610" max="4610" width="19.42578125" style="35" customWidth="1"/>
    <col min="4611" max="4615" width="26" style="35" customWidth="1"/>
    <col min="4616" max="4616" width="81.5703125" style="35" customWidth="1"/>
    <col min="4617" max="4617" width="9.5703125" style="35" customWidth="1"/>
    <col min="4618" max="4618" width="9.140625" style="35"/>
    <col min="4619" max="4619" width="27.140625" style="35" customWidth="1"/>
    <col min="4620" max="4864" width="9.140625" style="35"/>
    <col min="4865" max="4865" width="87.28515625" style="35" customWidth="1"/>
    <col min="4866" max="4866" width="19.42578125" style="35" customWidth="1"/>
    <col min="4867" max="4871" width="26" style="35" customWidth="1"/>
    <col min="4872" max="4872" width="81.5703125" style="35" customWidth="1"/>
    <col min="4873" max="4873" width="9.5703125" style="35" customWidth="1"/>
    <col min="4874" max="4874" width="9.140625" style="35"/>
    <col min="4875" max="4875" width="27.140625" style="35" customWidth="1"/>
    <col min="4876" max="5120" width="9.140625" style="35"/>
    <col min="5121" max="5121" width="87.28515625" style="35" customWidth="1"/>
    <col min="5122" max="5122" width="19.42578125" style="35" customWidth="1"/>
    <col min="5123" max="5127" width="26" style="35" customWidth="1"/>
    <col min="5128" max="5128" width="81.5703125" style="35" customWidth="1"/>
    <col min="5129" max="5129" width="9.5703125" style="35" customWidth="1"/>
    <col min="5130" max="5130" width="9.140625" style="35"/>
    <col min="5131" max="5131" width="27.140625" style="35" customWidth="1"/>
    <col min="5132" max="5376" width="9.140625" style="35"/>
    <col min="5377" max="5377" width="87.28515625" style="35" customWidth="1"/>
    <col min="5378" max="5378" width="19.42578125" style="35" customWidth="1"/>
    <col min="5379" max="5383" width="26" style="35" customWidth="1"/>
    <col min="5384" max="5384" width="81.5703125" style="35" customWidth="1"/>
    <col min="5385" max="5385" width="9.5703125" style="35" customWidth="1"/>
    <col min="5386" max="5386" width="9.140625" style="35"/>
    <col min="5387" max="5387" width="27.140625" style="35" customWidth="1"/>
    <col min="5388" max="5632" width="9.140625" style="35"/>
    <col min="5633" max="5633" width="87.28515625" style="35" customWidth="1"/>
    <col min="5634" max="5634" width="19.42578125" style="35" customWidth="1"/>
    <col min="5635" max="5639" width="26" style="35" customWidth="1"/>
    <col min="5640" max="5640" width="81.5703125" style="35" customWidth="1"/>
    <col min="5641" max="5641" width="9.5703125" style="35" customWidth="1"/>
    <col min="5642" max="5642" width="9.140625" style="35"/>
    <col min="5643" max="5643" width="27.140625" style="35" customWidth="1"/>
    <col min="5644" max="5888" width="9.140625" style="35"/>
    <col min="5889" max="5889" width="87.28515625" style="35" customWidth="1"/>
    <col min="5890" max="5890" width="19.42578125" style="35" customWidth="1"/>
    <col min="5891" max="5895" width="26" style="35" customWidth="1"/>
    <col min="5896" max="5896" width="81.5703125" style="35" customWidth="1"/>
    <col min="5897" max="5897" width="9.5703125" style="35" customWidth="1"/>
    <col min="5898" max="5898" width="9.140625" style="35"/>
    <col min="5899" max="5899" width="27.140625" style="35" customWidth="1"/>
    <col min="5900" max="6144" width="9.140625" style="35"/>
    <col min="6145" max="6145" width="87.28515625" style="35" customWidth="1"/>
    <col min="6146" max="6146" width="19.42578125" style="35" customWidth="1"/>
    <col min="6147" max="6151" width="26" style="35" customWidth="1"/>
    <col min="6152" max="6152" width="81.5703125" style="35" customWidth="1"/>
    <col min="6153" max="6153" width="9.5703125" style="35" customWidth="1"/>
    <col min="6154" max="6154" width="9.140625" style="35"/>
    <col min="6155" max="6155" width="27.140625" style="35" customWidth="1"/>
    <col min="6156" max="6400" width="9.140625" style="35"/>
    <col min="6401" max="6401" width="87.28515625" style="35" customWidth="1"/>
    <col min="6402" max="6402" width="19.42578125" style="35" customWidth="1"/>
    <col min="6403" max="6407" width="26" style="35" customWidth="1"/>
    <col min="6408" max="6408" width="81.5703125" style="35" customWidth="1"/>
    <col min="6409" max="6409" width="9.5703125" style="35" customWidth="1"/>
    <col min="6410" max="6410" width="9.140625" style="35"/>
    <col min="6411" max="6411" width="27.140625" style="35" customWidth="1"/>
    <col min="6412" max="6656" width="9.140625" style="35"/>
    <col min="6657" max="6657" width="87.28515625" style="35" customWidth="1"/>
    <col min="6658" max="6658" width="19.42578125" style="35" customWidth="1"/>
    <col min="6659" max="6663" width="26" style="35" customWidth="1"/>
    <col min="6664" max="6664" width="81.5703125" style="35" customWidth="1"/>
    <col min="6665" max="6665" width="9.5703125" style="35" customWidth="1"/>
    <col min="6666" max="6666" width="9.140625" style="35"/>
    <col min="6667" max="6667" width="27.140625" style="35" customWidth="1"/>
    <col min="6668" max="6912" width="9.140625" style="35"/>
    <col min="6913" max="6913" width="87.28515625" style="35" customWidth="1"/>
    <col min="6914" max="6914" width="19.42578125" style="35" customWidth="1"/>
    <col min="6915" max="6919" width="26" style="35" customWidth="1"/>
    <col min="6920" max="6920" width="81.5703125" style="35" customWidth="1"/>
    <col min="6921" max="6921" width="9.5703125" style="35" customWidth="1"/>
    <col min="6922" max="6922" width="9.140625" style="35"/>
    <col min="6923" max="6923" width="27.140625" style="35" customWidth="1"/>
    <col min="6924" max="7168" width="9.140625" style="35"/>
    <col min="7169" max="7169" width="87.28515625" style="35" customWidth="1"/>
    <col min="7170" max="7170" width="19.42578125" style="35" customWidth="1"/>
    <col min="7171" max="7175" width="26" style="35" customWidth="1"/>
    <col min="7176" max="7176" width="81.5703125" style="35" customWidth="1"/>
    <col min="7177" max="7177" width="9.5703125" style="35" customWidth="1"/>
    <col min="7178" max="7178" width="9.140625" style="35"/>
    <col min="7179" max="7179" width="27.140625" style="35" customWidth="1"/>
    <col min="7180" max="7424" width="9.140625" style="35"/>
    <col min="7425" max="7425" width="87.28515625" style="35" customWidth="1"/>
    <col min="7426" max="7426" width="19.42578125" style="35" customWidth="1"/>
    <col min="7427" max="7431" width="26" style="35" customWidth="1"/>
    <col min="7432" max="7432" width="81.5703125" style="35" customWidth="1"/>
    <col min="7433" max="7433" width="9.5703125" style="35" customWidth="1"/>
    <col min="7434" max="7434" width="9.140625" style="35"/>
    <col min="7435" max="7435" width="27.140625" style="35" customWidth="1"/>
    <col min="7436" max="7680" width="9.140625" style="35"/>
    <col min="7681" max="7681" width="87.28515625" style="35" customWidth="1"/>
    <col min="7682" max="7682" width="19.42578125" style="35" customWidth="1"/>
    <col min="7683" max="7687" width="26" style="35" customWidth="1"/>
    <col min="7688" max="7688" width="81.5703125" style="35" customWidth="1"/>
    <col min="7689" max="7689" width="9.5703125" style="35" customWidth="1"/>
    <col min="7690" max="7690" width="9.140625" style="35"/>
    <col min="7691" max="7691" width="27.140625" style="35" customWidth="1"/>
    <col min="7692" max="7936" width="9.140625" style="35"/>
    <col min="7937" max="7937" width="87.28515625" style="35" customWidth="1"/>
    <col min="7938" max="7938" width="19.42578125" style="35" customWidth="1"/>
    <col min="7939" max="7943" width="26" style="35" customWidth="1"/>
    <col min="7944" max="7944" width="81.5703125" style="35" customWidth="1"/>
    <col min="7945" max="7945" width="9.5703125" style="35" customWidth="1"/>
    <col min="7946" max="7946" width="9.140625" style="35"/>
    <col min="7947" max="7947" width="27.140625" style="35" customWidth="1"/>
    <col min="7948" max="8192" width="9.140625" style="35"/>
    <col min="8193" max="8193" width="87.28515625" style="35" customWidth="1"/>
    <col min="8194" max="8194" width="19.42578125" style="35" customWidth="1"/>
    <col min="8195" max="8199" width="26" style="35" customWidth="1"/>
    <col min="8200" max="8200" width="81.5703125" style="35" customWidth="1"/>
    <col min="8201" max="8201" width="9.5703125" style="35" customWidth="1"/>
    <col min="8202" max="8202" width="9.140625" style="35"/>
    <col min="8203" max="8203" width="27.140625" style="35" customWidth="1"/>
    <col min="8204" max="8448" width="9.140625" style="35"/>
    <col min="8449" max="8449" width="87.28515625" style="35" customWidth="1"/>
    <col min="8450" max="8450" width="19.42578125" style="35" customWidth="1"/>
    <col min="8451" max="8455" width="26" style="35" customWidth="1"/>
    <col min="8456" max="8456" width="81.5703125" style="35" customWidth="1"/>
    <col min="8457" max="8457" width="9.5703125" style="35" customWidth="1"/>
    <col min="8458" max="8458" width="9.140625" style="35"/>
    <col min="8459" max="8459" width="27.140625" style="35" customWidth="1"/>
    <col min="8460" max="8704" width="9.140625" style="35"/>
    <col min="8705" max="8705" width="87.28515625" style="35" customWidth="1"/>
    <col min="8706" max="8706" width="19.42578125" style="35" customWidth="1"/>
    <col min="8707" max="8711" width="26" style="35" customWidth="1"/>
    <col min="8712" max="8712" width="81.5703125" style="35" customWidth="1"/>
    <col min="8713" max="8713" width="9.5703125" style="35" customWidth="1"/>
    <col min="8714" max="8714" width="9.140625" style="35"/>
    <col min="8715" max="8715" width="27.140625" style="35" customWidth="1"/>
    <col min="8716" max="8960" width="9.140625" style="35"/>
    <col min="8961" max="8961" width="87.28515625" style="35" customWidth="1"/>
    <col min="8962" max="8962" width="19.42578125" style="35" customWidth="1"/>
    <col min="8963" max="8967" width="26" style="35" customWidth="1"/>
    <col min="8968" max="8968" width="81.5703125" style="35" customWidth="1"/>
    <col min="8969" max="8969" width="9.5703125" style="35" customWidth="1"/>
    <col min="8970" max="8970" width="9.140625" style="35"/>
    <col min="8971" max="8971" width="27.140625" style="35" customWidth="1"/>
    <col min="8972" max="9216" width="9.140625" style="35"/>
    <col min="9217" max="9217" width="87.28515625" style="35" customWidth="1"/>
    <col min="9218" max="9218" width="19.42578125" style="35" customWidth="1"/>
    <col min="9219" max="9223" width="26" style="35" customWidth="1"/>
    <col min="9224" max="9224" width="81.5703125" style="35" customWidth="1"/>
    <col min="9225" max="9225" width="9.5703125" style="35" customWidth="1"/>
    <col min="9226" max="9226" width="9.140625" style="35"/>
    <col min="9227" max="9227" width="27.140625" style="35" customWidth="1"/>
    <col min="9228" max="9472" width="9.140625" style="35"/>
    <col min="9473" max="9473" width="87.28515625" style="35" customWidth="1"/>
    <col min="9474" max="9474" width="19.42578125" style="35" customWidth="1"/>
    <col min="9475" max="9479" width="26" style="35" customWidth="1"/>
    <col min="9480" max="9480" width="81.5703125" style="35" customWidth="1"/>
    <col min="9481" max="9481" width="9.5703125" style="35" customWidth="1"/>
    <col min="9482" max="9482" width="9.140625" style="35"/>
    <col min="9483" max="9483" width="27.140625" style="35" customWidth="1"/>
    <col min="9484" max="9728" width="9.140625" style="35"/>
    <col min="9729" max="9729" width="87.28515625" style="35" customWidth="1"/>
    <col min="9730" max="9730" width="19.42578125" style="35" customWidth="1"/>
    <col min="9731" max="9735" width="26" style="35" customWidth="1"/>
    <col min="9736" max="9736" width="81.5703125" style="35" customWidth="1"/>
    <col min="9737" max="9737" width="9.5703125" style="35" customWidth="1"/>
    <col min="9738" max="9738" width="9.140625" style="35"/>
    <col min="9739" max="9739" width="27.140625" style="35" customWidth="1"/>
    <col min="9740" max="9984" width="9.140625" style="35"/>
    <col min="9985" max="9985" width="87.28515625" style="35" customWidth="1"/>
    <col min="9986" max="9986" width="19.42578125" style="35" customWidth="1"/>
    <col min="9987" max="9991" width="26" style="35" customWidth="1"/>
    <col min="9992" max="9992" width="81.5703125" style="35" customWidth="1"/>
    <col min="9993" max="9993" width="9.5703125" style="35" customWidth="1"/>
    <col min="9994" max="9994" width="9.140625" style="35"/>
    <col min="9995" max="9995" width="27.140625" style="35" customWidth="1"/>
    <col min="9996" max="10240" width="9.140625" style="35"/>
    <col min="10241" max="10241" width="87.28515625" style="35" customWidth="1"/>
    <col min="10242" max="10242" width="19.42578125" style="35" customWidth="1"/>
    <col min="10243" max="10247" width="26" style="35" customWidth="1"/>
    <col min="10248" max="10248" width="81.5703125" style="35" customWidth="1"/>
    <col min="10249" max="10249" width="9.5703125" style="35" customWidth="1"/>
    <col min="10250" max="10250" width="9.140625" style="35"/>
    <col min="10251" max="10251" width="27.140625" style="35" customWidth="1"/>
    <col min="10252" max="10496" width="9.140625" style="35"/>
    <col min="10497" max="10497" width="87.28515625" style="35" customWidth="1"/>
    <col min="10498" max="10498" width="19.42578125" style="35" customWidth="1"/>
    <col min="10499" max="10503" width="26" style="35" customWidth="1"/>
    <col min="10504" max="10504" width="81.5703125" style="35" customWidth="1"/>
    <col min="10505" max="10505" width="9.5703125" style="35" customWidth="1"/>
    <col min="10506" max="10506" width="9.140625" style="35"/>
    <col min="10507" max="10507" width="27.140625" style="35" customWidth="1"/>
    <col min="10508" max="10752" width="9.140625" style="35"/>
    <col min="10753" max="10753" width="87.28515625" style="35" customWidth="1"/>
    <col min="10754" max="10754" width="19.42578125" style="35" customWidth="1"/>
    <col min="10755" max="10759" width="26" style="35" customWidth="1"/>
    <col min="10760" max="10760" width="81.5703125" style="35" customWidth="1"/>
    <col min="10761" max="10761" width="9.5703125" style="35" customWidth="1"/>
    <col min="10762" max="10762" width="9.140625" style="35"/>
    <col min="10763" max="10763" width="27.140625" style="35" customWidth="1"/>
    <col min="10764" max="11008" width="9.140625" style="35"/>
    <col min="11009" max="11009" width="87.28515625" style="35" customWidth="1"/>
    <col min="11010" max="11010" width="19.42578125" style="35" customWidth="1"/>
    <col min="11011" max="11015" width="26" style="35" customWidth="1"/>
    <col min="11016" max="11016" width="81.5703125" style="35" customWidth="1"/>
    <col min="11017" max="11017" width="9.5703125" style="35" customWidth="1"/>
    <col min="11018" max="11018" width="9.140625" style="35"/>
    <col min="11019" max="11019" width="27.140625" style="35" customWidth="1"/>
    <col min="11020" max="11264" width="9.140625" style="35"/>
    <col min="11265" max="11265" width="87.28515625" style="35" customWidth="1"/>
    <col min="11266" max="11266" width="19.42578125" style="35" customWidth="1"/>
    <col min="11267" max="11271" width="26" style="35" customWidth="1"/>
    <col min="11272" max="11272" width="81.5703125" style="35" customWidth="1"/>
    <col min="11273" max="11273" width="9.5703125" style="35" customWidth="1"/>
    <col min="11274" max="11274" width="9.140625" style="35"/>
    <col min="11275" max="11275" width="27.140625" style="35" customWidth="1"/>
    <col min="11276" max="11520" width="9.140625" style="35"/>
    <col min="11521" max="11521" width="87.28515625" style="35" customWidth="1"/>
    <col min="11522" max="11522" width="19.42578125" style="35" customWidth="1"/>
    <col min="11523" max="11527" width="26" style="35" customWidth="1"/>
    <col min="11528" max="11528" width="81.5703125" style="35" customWidth="1"/>
    <col min="11529" max="11529" width="9.5703125" style="35" customWidth="1"/>
    <col min="11530" max="11530" width="9.140625" style="35"/>
    <col min="11531" max="11531" width="27.140625" style="35" customWidth="1"/>
    <col min="11532" max="11776" width="9.140625" style="35"/>
    <col min="11777" max="11777" width="87.28515625" style="35" customWidth="1"/>
    <col min="11778" max="11778" width="19.42578125" style="35" customWidth="1"/>
    <col min="11779" max="11783" width="26" style="35" customWidth="1"/>
    <col min="11784" max="11784" width="81.5703125" style="35" customWidth="1"/>
    <col min="11785" max="11785" width="9.5703125" style="35" customWidth="1"/>
    <col min="11786" max="11786" width="9.140625" style="35"/>
    <col min="11787" max="11787" width="27.140625" style="35" customWidth="1"/>
    <col min="11788" max="12032" width="9.140625" style="35"/>
    <col min="12033" max="12033" width="87.28515625" style="35" customWidth="1"/>
    <col min="12034" max="12034" width="19.42578125" style="35" customWidth="1"/>
    <col min="12035" max="12039" width="26" style="35" customWidth="1"/>
    <col min="12040" max="12040" width="81.5703125" style="35" customWidth="1"/>
    <col min="12041" max="12041" width="9.5703125" style="35" customWidth="1"/>
    <col min="12042" max="12042" width="9.140625" style="35"/>
    <col min="12043" max="12043" width="27.140625" style="35" customWidth="1"/>
    <col min="12044" max="12288" width="9.140625" style="35"/>
    <col min="12289" max="12289" width="87.28515625" style="35" customWidth="1"/>
    <col min="12290" max="12290" width="19.42578125" style="35" customWidth="1"/>
    <col min="12291" max="12295" width="26" style="35" customWidth="1"/>
    <col min="12296" max="12296" width="81.5703125" style="35" customWidth="1"/>
    <col min="12297" max="12297" width="9.5703125" style="35" customWidth="1"/>
    <col min="12298" max="12298" width="9.140625" style="35"/>
    <col min="12299" max="12299" width="27.140625" style="35" customWidth="1"/>
    <col min="12300" max="12544" width="9.140625" style="35"/>
    <col min="12545" max="12545" width="87.28515625" style="35" customWidth="1"/>
    <col min="12546" max="12546" width="19.42578125" style="35" customWidth="1"/>
    <col min="12547" max="12551" width="26" style="35" customWidth="1"/>
    <col min="12552" max="12552" width="81.5703125" style="35" customWidth="1"/>
    <col min="12553" max="12553" width="9.5703125" style="35" customWidth="1"/>
    <col min="12554" max="12554" width="9.140625" style="35"/>
    <col min="12555" max="12555" width="27.140625" style="35" customWidth="1"/>
    <col min="12556" max="12800" width="9.140625" style="35"/>
    <col min="12801" max="12801" width="87.28515625" style="35" customWidth="1"/>
    <col min="12802" max="12802" width="19.42578125" style="35" customWidth="1"/>
    <col min="12803" max="12807" width="26" style="35" customWidth="1"/>
    <col min="12808" max="12808" width="81.5703125" style="35" customWidth="1"/>
    <col min="12809" max="12809" width="9.5703125" style="35" customWidth="1"/>
    <col min="12810" max="12810" width="9.140625" style="35"/>
    <col min="12811" max="12811" width="27.140625" style="35" customWidth="1"/>
    <col min="12812" max="13056" width="9.140625" style="35"/>
    <col min="13057" max="13057" width="87.28515625" style="35" customWidth="1"/>
    <col min="13058" max="13058" width="19.42578125" style="35" customWidth="1"/>
    <col min="13059" max="13063" width="26" style="35" customWidth="1"/>
    <col min="13064" max="13064" width="81.5703125" style="35" customWidth="1"/>
    <col min="13065" max="13065" width="9.5703125" style="35" customWidth="1"/>
    <col min="13066" max="13066" width="9.140625" style="35"/>
    <col min="13067" max="13067" width="27.140625" style="35" customWidth="1"/>
    <col min="13068" max="13312" width="9.140625" style="35"/>
    <col min="13313" max="13313" width="87.28515625" style="35" customWidth="1"/>
    <col min="13314" max="13314" width="19.42578125" style="35" customWidth="1"/>
    <col min="13315" max="13319" width="26" style="35" customWidth="1"/>
    <col min="13320" max="13320" width="81.5703125" style="35" customWidth="1"/>
    <col min="13321" max="13321" width="9.5703125" style="35" customWidth="1"/>
    <col min="13322" max="13322" width="9.140625" style="35"/>
    <col min="13323" max="13323" width="27.140625" style="35" customWidth="1"/>
    <col min="13324" max="13568" width="9.140625" style="35"/>
    <col min="13569" max="13569" width="87.28515625" style="35" customWidth="1"/>
    <col min="13570" max="13570" width="19.42578125" style="35" customWidth="1"/>
    <col min="13571" max="13575" width="26" style="35" customWidth="1"/>
    <col min="13576" max="13576" width="81.5703125" style="35" customWidth="1"/>
    <col min="13577" max="13577" width="9.5703125" style="35" customWidth="1"/>
    <col min="13578" max="13578" width="9.140625" style="35"/>
    <col min="13579" max="13579" width="27.140625" style="35" customWidth="1"/>
    <col min="13580" max="13824" width="9.140625" style="35"/>
    <col min="13825" max="13825" width="87.28515625" style="35" customWidth="1"/>
    <col min="13826" max="13826" width="19.42578125" style="35" customWidth="1"/>
    <col min="13827" max="13831" width="26" style="35" customWidth="1"/>
    <col min="13832" max="13832" width="81.5703125" style="35" customWidth="1"/>
    <col min="13833" max="13833" width="9.5703125" style="35" customWidth="1"/>
    <col min="13834" max="13834" width="9.140625" style="35"/>
    <col min="13835" max="13835" width="27.140625" style="35" customWidth="1"/>
    <col min="13836" max="14080" width="9.140625" style="35"/>
    <col min="14081" max="14081" width="87.28515625" style="35" customWidth="1"/>
    <col min="14082" max="14082" width="19.42578125" style="35" customWidth="1"/>
    <col min="14083" max="14087" width="26" style="35" customWidth="1"/>
    <col min="14088" max="14088" width="81.5703125" style="35" customWidth="1"/>
    <col min="14089" max="14089" width="9.5703125" style="35" customWidth="1"/>
    <col min="14090" max="14090" width="9.140625" style="35"/>
    <col min="14091" max="14091" width="27.140625" style="35" customWidth="1"/>
    <col min="14092" max="14336" width="9.140625" style="35"/>
    <col min="14337" max="14337" width="87.28515625" style="35" customWidth="1"/>
    <col min="14338" max="14338" width="19.42578125" style="35" customWidth="1"/>
    <col min="14339" max="14343" width="26" style="35" customWidth="1"/>
    <col min="14344" max="14344" width="81.5703125" style="35" customWidth="1"/>
    <col min="14345" max="14345" width="9.5703125" style="35" customWidth="1"/>
    <col min="14346" max="14346" width="9.140625" style="35"/>
    <col min="14347" max="14347" width="27.140625" style="35" customWidth="1"/>
    <col min="14348" max="14592" width="9.140625" style="35"/>
    <col min="14593" max="14593" width="87.28515625" style="35" customWidth="1"/>
    <col min="14594" max="14594" width="19.42578125" style="35" customWidth="1"/>
    <col min="14595" max="14599" width="26" style="35" customWidth="1"/>
    <col min="14600" max="14600" width="81.5703125" style="35" customWidth="1"/>
    <col min="14601" max="14601" width="9.5703125" style="35" customWidth="1"/>
    <col min="14602" max="14602" width="9.140625" style="35"/>
    <col min="14603" max="14603" width="27.140625" style="35" customWidth="1"/>
    <col min="14604" max="14848" width="9.140625" style="35"/>
    <col min="14849" max="14849" width="87.28515625" style="35" customWidth="1"/>
    <col min="14850" max="14850" width="19.42578125" style="35" customWidth="1"/>
    <col min="14851" max="14855" width="26" style="35" customWidth="1"/>
    <col min="14856" max="14856" width="81.5703125" style="35" customWidth="1"/>
    <col min="14857" max="14857" width="9.5703125" style="35" customWidth="1"/>
    <col min="14858" max="14858" width="9.140625" style="35"/>
    <col min="14859" max="14859" width="27.140625" style="35" customWidth="1"/>
    <col min="14860" max="15104" width="9.140625" style="35"/>
    <col min="15105" max="15105" width="87.28515625" style="35" customWidth="1"/>
    <col min="15106" max="15106" width="19.42578125" style="35" customWidth="1"/>
    <col min="15107" max="15111" width="26" style="35" customWidth="1"/>
    <col min="15112" max="15112" width="81.5703125" style="35" customWidth="1"/>
    <col min="15113" max="15113" width="9.5703125" style="35" customWidth="1"/>
    <col min="15114" max="15114" width="9.140625" style="35"/>
    <col min="15115" max="15115" width="27.140625" style="35" customWidth="1"/>
    <col min="15116" max="15360" width="9.140625" style="35"/>
    <col min="15361" max="15361" width="87.28515625" style="35" customWidth="1"/>
    <col min="15362" max="15362" width="19.42578125" style="35" customWidth="1"/>
    <col min="15363" max="15367" width="26" style="35" customWidth="1"/>
    <col min="15368" max="15368" width="81.5703125" style="35" customWidth="1"/>
    <col min="15369" max="15369" width="9.5703125" style="35" customWidth="1"/>
    <col min="15370" max="15370" width="9.140625" style="35"/>
    <col min="15371" max="15371" width="27.140625" style="35" customWidth="1"/>
    <col min="15372" max="15616" width="9.140625" style="35"/>
    <col min="15617" max="15617" width="87.28515625" style="35" customWidth="1"/>
    <col min="15618" max="15618" width="19.42578125" style="35" customWidth="1"/>
    <col min="15619" max="15623" width="26" style="35" customWidth="1"/>
    <col min="15624" max="15624" width="81.5703125" style="35" customWidth="1"/>
    <col min="15625" max="15625" width="9.5703125" style="35" customWidth="1"/>
    <col min="15626" max="15626" width="9.140625" style="35"/>
    <col min="15627" max="15627" width="27.140625" style="35" customWidth="1"/>
    <col min="15628" max="15872" width="9.140625" style="35"/>
    <col min="15873" max="15873" width="87.28515625" style="35" customWidth="1"/>
    <col min="15874" max="15874" width="19.42578125" style="35" customWidth="1"/>
    <col min="15875" max="15879" width="26" style="35" customWidth="1"/>
    <col min="15880" max="15880" width="81.5703125" style="35" customWidth="1"/>
    <col min="15881" max="15881" width="9.5703125" style="35" customWidth="1"/>
    <col min="15882" max="15882" width="9.140625" style="35"/>
    <col min="15883" max="15883" width="27.140625" style="35" customWidth="1"/>
    <col min="15884" max="16128" width="9.140625" style="35"/>
    <col min="16129" max="16129" width="87.28515625" style="35" customWidth="1"/>
    <col min="16130" max="16130" width="19.42578125" style="35" customWidth="1"/>
    <col min="16131" max="16135" width="26" style="35" customWidth="1"/>
    <col min="16136" max="16136" width="81.5703125" style="35" customWidth="1"/>
    <col min="16137" max="16137" width="9.5703125" style="35" customWidth="1"/>
    <col min="16138" max="16138" width="9.140625" style="35"/>
    <col min="16139" max="16139" width="27.140625" style="35" customWidth="1"/>
    <col min="16140" max="16384" width="9.140625" style="35"/>
  </cols>
  <sheetData>
    <row r="1" spans="1:9" ht="18.75" hidden="1" outlineLevel="1" x14ac:dyDescent="0.2">
      <c r="H1" s="2" t="s">
        <v>0</v>
      </c>
    </row>
    <row r="2" spans="1:9" ht="18.75" hidden="1" outlineLevel="1" x14ac:dyDescent="0.2">
      <c r="H2" s="2" t="s">
        <v>211</v>
      </c>
    </row>
    <row r="3" spans="1:9" ht="19.5" customHeight="1" collapsed="1" x14ac:dyDescent="0.2">
      <c r="A3" s="296" t="s">
        <v>212</v>
      </c>
      <c r="B3" s="296"/>
      <c r="C3" s="296"/>
      <c r="D3" s="296"/>
      <c r="E3" s="296"/>
      <c r="F3" s="296"/>
      <c r="G3" s="296"/>
      <c r="H3" s="296"/>
      <c r="I3" s="290">
        <v>36</v>
      </c>
    </row>
    <row r="4" spans="1:9" ht="16.5" customHeight="1" x14ac:dyDescent="0.3">
      <c r="H4" s="36" t="s">
        <v>211</v>
      </c>
      <c r="I4" s="290"/>
    </row>
    <row r="5" spans="1:9" ht="49.5" customHeight="1" x14ac:dyDescent="0.2">
      <c r="A5" s="297" t="s">
        <v>97</v>
      </c>
      <c r="B5" s="297" t="s">
        <v>146</v>
      </c>
      <c r="C5" s="297" t="s">
        <v>213</v>
      </c>
      <c r="D5" s="259" t="s">
        <v>5</v>
      </c>
      <c r="E5" s="259"/>
      <c r="F5" s="259" t="s">
        <v>316</v>
      </c>
      <c r="G5" s="259"/>
      <c r="H5" s="297" t="s">
        <v>214</v>
      </c>
      <c r="I5" s="290"/>
    </row>
    <row r="6" spans="1:9" ht="63" customHeight="1" x14ac:dyDescent="0.2">
      <c r="A6" s="298"/>
      <c r="B6" s="298"/>
      <c r="C6" s="298"/>
      <c r="D6" s="142" t="s">
        <v>459</v>
      </c>
      <c r="E6" s="142" t="s">
        <v>460</v>
      </c>
      <c r="F6" s="100" t="s">
        <v>470</v>
      </c>
      <c r="G6" s="18" t="s">
        <v>461</v>
      </c>
      <c r="H6" s="298"/>
      <c r="I6" s="290"/>
    </row>
    <row r="7" spans="1:9" s="38" customFormat="1" ht="29.25" customHeight="1" x14ac:dyDescent="0.3">
      <c r="A7" s="37">
        <v>1</v>
      </c>
      <c r="B7" s="37">
        <v>2</v>
      </c>
      <c r="C7" s="37">
        <v>3</v>
      </c>
      <c r="D7" s="37">
        <v>4</v>
      </c>
      <c r="E7" s="37">
        <v>5</v>
      </c>
      <c r="F7" s="37">
        <f>D7</f>
        <v>4</v>
      </c>
      <c r="G7" s="37">
        <v>7</v>
      </c>
      <c r="H7" s="37">
        <v>8</v>
      </c>
      <c r="I7" s="290"/>
    </row>
    <row r="8" spans="1:9" s="38" customFormat="1" ht="24.95" customHeight="1" x14ac:dyDescent="0.3">
      <c r="A8" s="39" t="s">
        <v>215</v>
      </c>
      <c r="B8" s="39"/>
      <c r="C8" s="37"/>
      <c r="D8" s="37"/>
      <c r="E8" s="37"/>
      <c r="F8" s="37"/>
      <c r="G8" s="37"/>
      <c r="H8" s="37"/>
      <c r="I8" s="290"/>
    </row>
    <row r="9" spans="1:9" ht="63.95" customHeight="1" x14ac:dyDescent="0.2">
      <c r="A9" s="5" t="s">
        <v>216</v>
      </c>
      <c r="B9" s="18">
        <v>5000</v>
      </c>
      <c r="C9" s="40" t="s">
        <v>217</v>
      </c>
      <c r="D9" s="141">
        <f>Фін.результат!C19/Фін.результат!C9*100</f>
        <v>9.7476028722535144</v>
      </c>
      <c r="E9" s="141">
        <f>Фін.результат!D19/Фін.результат!D9*100</f>
        <v>13.806226001097095</v>
      </c>
      <c r="F9" s="141">
        <f>D9</f>
        <v>9.7476028722535144</v>
      </c>
      <c r="G9" s="141">
        <f>Фін.результат!F19/Фін.результат!F9*100</f>
        <v>13.806226001097095</v>
      </c>
      <c r="H9" s="41"/>
      <c r="I9" s="290"/>
    </row>
    <row r="10" spans="1:9" ht="63.95" customHeight="1" x14ac:dyDescent="0.2">
      <c r="A10" s="5" t="s">
        <v>218</v>
      </c>
      <c r="B10" s="18">
        <v>5010</v>
      </c>
      <c r="C10" s="40" t="s">
        <v>217</v>
      </c>
      <c r="D10" s="141">
        <f>Фін.результат!C88/Фін.результат!C9*100</f>
        <v>10.439867566754096</v>
      </c>
      <c r="E10" s="141">
        <f>Фін.результат!F88/Фін.результат!F9*100</f>
        <v>-2.5884530992868897</v>
      </c>
      <c r="F10" s="141">
        <f t="shared" ref="F10:F20" si="0">D10</f>
        <v>10.439867566754096</v>
      </c>
      <c r="G10" s="141">
        <f>E10</f>
        <v>-2.5884530992868897</v>
      </c>
      <c r="H10" s="41"/>
      <c r="I10" s="290"/>
    </row>
    <row r="11" spans="1:9" ht="42.75" customHeight="1" x14ac:dyDescent="0.2">
      <c r="A11" s="42" t="s">
        <v>415</v>
      </c>
      <c r="B11" s="18">
        <v>5020</v>
      </c>
      <c r="C11" s="40" t="s">
        <v>217</v>
      </c>
      <c r="D11" s="141">
        <f>Фін.результат!C72/'Фін.план зведені показники'!C85</f>
        <v>0.12772389469706513</v>
      </c>
      <c r="E11" s="141">
        <f>Фін.результат!F72/'Фін.план зведені показники'!F85</f>
        <v>-6.4591679506933744E-2</v>
      </c>
      <c r="F11" s="141">
        <f t="shared" si="0"/>
        <v>0.12772389469706513</v>
      </c>
      <c r="G11" s="141">
        <f t="shared" ref="G11:G23" si="1">E11</f>
        <v>-6.4591679506933744E-2</v>
      </c>
      <c r="H11" s="41" t="s">
        <v>219</v>
      </c>
      <c r="I11" s="290"/>
    </row>
    <row r="12" spans="1:9" ht="42.75" customHeight="1" x14ac:dyDescent="0.2">
      <c r="A12" s="42" t="s">
        <v>416</v>
      </c>
      <c r="B12" s="18">
        <v>5030</v>
      </c>
      <c r="C12" s="40" t="s">
        <v>217</v>
      </c>
      <c r="D12" s="141">
        <f>Фін.результат!C72/'Фін.план зведені показники'!C91</f>
        <v>0.15561694290976058</v>
      </c>
      <c r="E12" s="141">
        <f>Фін.результат!D72/'Фін.план зведені показники'!D91</f>
        <v>-9.7388718520583589E-2</v>
      </c>
      <c r="F12" s="141">
        <f t="shared" si="0"/>
        <v>0.15561694290976058</v>
      </c>
      <c r="G12" s="141">
        <f t="shared" si="1"/>
        <v>-9.7388718520583589E-2</v>
      </c>
      <c r="H12" s="41"/>
      <c r="I12" s="290"/>
    </row>
    <row r="13" spans="1:9" ht="63.95" customHeight="1" x14ac:dyDescent="0.2">
      <c r="A13" s="42" t="s">
        <v>417</v>
      </c>
      <c r="B13" s="18">
        <v>5040</v>
      </c>
      <c r="C13" s="40" t="s">
        <v>220</v>
      </c>
      <c r="D13" s="141">
        <f>Фін.результат!C72/Фін.результат!C9</f>
        <v>8.7199552822806031E-2</v>
      </c>
      <c r="E13" s="141">
        <f>Фін.результат!F72/Фін.результат!F9</f>
        <v>-3.5929786066922653E-2</v>
      </c>
      <c r="F13" s="141">
        <f t="shared" si="0"/>
        <v>8.7199552822806031E-2</v>
      </c>
      <c r="G13" s="141">
        <f t="shared" si="1"/>
        <v>-3.5929786066922653E-2</v>
      </c>
      <c r="H13" s="41" t="s">
        <v>221</v>
      </c>
      <c r="I13" s="290"/>
    </row>
    <row r="14" spans="1:9" ht="24.95" customHeight="1" x14ac:dyDescent="0.2">
      <c r="A14" s="39" t="s">
        <v>222</v>
      </c>
      <c r="B14" s="18"/>
      <c r="C14" s="43"/>
      <c r="D14" s="141"/>
      <c r="E14" s="141"/>
      <c r="F14" s="141">
        <f t="shared" si="0"/>
        <v>0</v>
      </c>
      <c r="G14" s="141">
        <f t="shared" si="1"/>
        <v>0</v>
      </c>
      <c r="H14" s="41"/>
      <c r="I14" s="290"/>
    </row>
    <row r="15" spans="1:9" ht="63.95" customHeight="1" x14ac:dyDescent="0.2">
      <c r="A15" s="41" t="s">
        <v>223</v>
      </c>
      <c r="B15" s="18">
        <v>5100</v>
      </c>
      <c r="C15" s="40"/>
      <c r="D15" s="141">
        <f>'Фін.план зведені показники'!C87/Фін.результат!C88</f>
        <v>1.1721581548599671</v>
      </c>
      <c r="E15" s="141">
        <f>'Фін.план зведені показники'!F87/Фін.результат!F88</f>
        <v>-7.2370860927152316</v>
      </c>
      <c r="F15" s="141">
        <f t="shared" si="0"/>
        <v>1.1721581548599671</v>
      </c>
      <c r="G15" s="141">
        <f t="shared" si="1"/>
        <v>-7.2370860927152316</v>
      </c>
      <c r="H15" s="41"/>
      <c r="I15" s="290"/>
    </row>
    <row r="16" spans="1:9" s="38" customFormat="1" ht="63.95" customHeight="1" x14ac:dyDescent="0.3">
      <c r="A16" s="41" t="s">
        <v>224</v>
      </c>
      <c r="B16" s="18">
        <v>5110</v>
      </c>
      <c r="C16" s="40" t="s">
        <v>225</v>
      </c>
      <c r="D16" s="141">
        <f>'Фін.план зведені показники'!C91/'Фін.план зведені показники'!C87</f>
        <v>4.5790583274771608</v>
      </c>
      <c r="E16" s="141">
        <f>'Фін.план зведені показники'!D91/'Фін.план зведені показники'!D87</f>
        <v>1.9694363103953147</v>
      </c>
      <c r="F16" s="141">
        <f t="shared" si="0"/>
        <v>4.5790583274771608</v>
      </c>
      <c r="G16" s="141">
        <f t="shared" si="1"/>
        <v>1.9694363103953147</v>
      </c>
      <c r="H16" s="41" t="s">
        <v>226</v>
      </c>
      <c r="I16" s="290"/>
    </row>
    <row r="17" spans="1:11" s="38" customFormat="1" ht="63.95" customHeight="1" x14ac:dyDescent="0.3">
      <c r="A17" s="41" t="s">
        <v>227</v>
      </c>
      <c r="B17" s="18">
        <v>5120</v>
      </c>
      <c r="C17" s="40" t="s">
        <v>225</v>
      </c>
      <c r="D17" s="141">
        <f>'Фін.план зведені показники'!C83/'Фін.план зведені показники'!C87</f>
        <v>3.0804638088545326</v>
      </c>
      <c r="E17" s="141">
        <f>'Фін.план зведені показники'!D83/'Фін.план зведені показники'!D87</f>
        <v>1.8259516837481697</v>
      </c>
      <c r="F17" s="141">
        <f t="shared" si="0"/>
        <v>3.0804638088545326</v>
      </c>
      <c r="G17" s="141">
        <f t="shared" si="1"/>
        <v>1.8259516837481697</v>
      </c>
      <c r="H17" s="41" t="s">
        <v>228</v>
      </c>
      <c r="I17" s="290"/>
    </row>
    <row r="18" spans="1:11" ht="24.95" customHeight="1" x14ac:dyDescent="0.2">
      <c r="A18" s="39" t="s">
        <v>229</v>
      </c>
      <c r="B18" s="18"/>
      <c r="C18" s="40"/>
      <c r="D18" s="141"/>
      <c r="E18" s="141"/>
      <c r="F18" s="141"/>
      <c r="G18" s="141"/>
      <c r="H18" s="41"/>
      <c r="I18" s="290"/>
    </row>
    <row r="19" spans="1:11" ht="42.75" customHeight="1" x14ac:dyDescent="0.2">
      <c r="A19" s="41" t="s">
        <v>230</v>
      </c>
      <c r="B19" s="18">
        <v>5200</v>
      </c>
      <c r="C19" s="40"/>
      <c r="D19" s="141">
        <f>'Фін.план зведені показники'!C76/Фін.результат!C95</f>
        <v>0.12824427480916031</v>
      </c>
      <c r="E19" s="141">
        <f>'Фін.план зведені показники'!D76/Фін.результат!D95</f>
        <v>6.1946902654867256E-2</v>
      </c>
      <c r="F19" s="141">
        <f t="shared" si="0"/>
        <v>0.12824427480916031</v>
      </c>
      <c r="G19" s="141">
        <f t="shared" si="1"/>
        <v>6.1946902654867256E-2</v>
      </c>
      <c r="H19" s="41"/>
      <c r="I19" s="290"/>
    </row>
    <row r="20" spans="1:11" ht="63.95" customHeight="1" x14ac:dyDescent="0.2">
      <c r="A20" s="41" t="s">
        <v>231</v>
      </c>
      <c r="B20" s="18">
        <v>5210</v>
      </c>
      <c r="C20" s="40"/>
      <c r="D20" s="141">
        <f>'Фін.план зведені показники'!C76/Фін.результат!C9</f>
        <v>3.6118157973943328E-3</v>
      </c>
      <c r="E20" s="141">
        <f>'Фін.план зведені показники'!D76/Фін.результат!D9</f>
        <v>1.43993417443774E-3</v>
      </c>
      <c r="F20" s="141">
        <f t="shared" si="0"/>
        <v>3.6118157973943328E-3</v>
      </c>
      <c r="G20" s="141">
        <f>'Фін.план зведені показники'!F76/Фін.результат!F9</f>
        <v>1.43993417443774E-3</v>
      </c>
      <c r="H20" s="41"/>
      <c r="I20" s="290"/>
    </row>
    <row r="21" spans="1:11" ht="63.95" customHeight="1" x14ac:dyDescent="0.2">
      <c r="A21" s="41" t="s">
        <v>232</v>
      </c>
      <c r="B21" s="18">
        <v>5220</v>
      </c>
      <c r="C21" s="40" t="s">
        <v>217</v>
      </c>
      <c r="D21" s="141">
        <f>8686/15787</f>
        <v>0.5501995312598974</v>
      </c>
      <c r="E21" s="141">
        <f>8927/15169</f>
        <v>0.58850286769068494</v>
      </c>
      <c r="F21" s="141">
        <f>D21</f>
        <v>0.5501995312598974</v>
      </c>
      <c r="G21" s="141">
        <f>E21</f>
        <v>0.58850286769068494</v>
      </c>
      <c r="H21" s="41" t="s">
        <v>233</v>
      </c>
      <c r="I21" s="290"/>
    </row>
    <row r="22" spans="1:11" ht="24.95" customHeight="1" x14ac:dyDescent="0.2">
      <c r="A22" s="39" t="s">
        <v>234</v>
      </c>
      <c r="B22" s="18"/>
      <c r="C22" s="40"/>
      <c r="D22" s="141"/>
      <c r="E22" s="141" t="s">
        <v>3</v>
      </c>
      <c r="F22" s="141"/>
      <c r="G22" s="141" t="str">
        <f t="shared" si="1"/>
        <v xml:space="preserve"> </v>
      </c>
      <c r="H22" s="41"/>
      <c r="I22" s="290"/>
    </row>
    <row r="23" spans="1:11" ht="84" customHeight="1" x14ac:dyDescent="0.2">
      <c r="A23" s="42" t="s">
        <v>235</v>
      </c>
      <c r="B23" s="18">
        <v>5300</v>
      </c>
      <c r="C23" s="40"/>
      <c r="D23" s="141">
        <v>0</v>
      </c>
      <c r="E23" s="141">
        <v>0</v>
      </c>
      <c r="F23" s="141">
        <v>0</v>
      </c>
      <c r="G23" s="141">
        <f t="shared" si="1"/>
        <v>0</v>
      </c>
      <c r="H23" s="44"/>
      <c r="I23" s="290"/>
    </row>
    <row r="24" spans="1:11" x14ac:dyDescent="0.2">
      <c r="I24" s="290"/>
    </row>
    <row r="25" spans="1:11" ht="12" customHeight="1" x14ac:dyDescent="0.2">
      <c r="I25" s="290"/>
    </row>
    <row r="26" spans="1:11" hidden="1" x14ac:dyDescent="0.2">
      <c r="I26" s="290"/>
    </row>
    <row r="27" spans="1:11" ht="3" hidden="1" customHeight="1" x14ac:dyDescent="0.2">
      <c r="I27" s="290"/>
    </row>
    <row r="28" spans="1:11" ht="20.25" hidden="1" x14ac:dyDescent="0.3">
      <c r="I28" s="290"/>
      <c r="K28" s="45" t="s">
        <v>236</v>
      </c>
    </row>
    <row r="29" spans="1:11" s="1" customFormat="1" ht="27.75" customHeight="1" x14ac:dyDescent="0.25">
      <c r="A29" s="13" t="s">
        <v>237</v>
      </c>
      <c r="B29" s="15"/>
      <c r="C29" s="246" t="s">
        <v>140</v>
      </c>
      <c r="D29" s="246"/>
      <c r="E29" s="143"/>
      <c r="F29" s="247" t="s">
        <v>317</v>
      </c>
      <c r="G29" s="247"/>
      <c r="H29" s="247"/>
      <c r="I29" s="290"/>
    </row>
    <row r="30" spans="1:11" s="10" customFormat="1" ht="18.75" x14ac:dyDescent="0.25">
      <c r="A30" s="17" t="s">
        <v>92</v>
      </c>
      <c r="B30" s="1"/>
      <c r="C30" s="248" t="s">
        <v>198</v>
      </c>
      <c r="D30" s="248"/>
      <c r="E30" s="1"/>
      <c r="F30" s="291" t="s">
        <v>94</v>
      </c>
      <c r="G30" s="291"/>
      <c r="H30" s="291"/>
      <c r="I30" s="290"/>
    </row>
  </sheetData>
  <mergeCells count="12">
    <mergeCell ref="C30:D30"/>
    <mergeCell ref="F30:H30"/>
    <mergeCell ref="A3:H3"/>
    <mergeCell ref="I3:I30"/>
    <mergeCell ref="A5:A6"/>
    <mergeCell ref="B5:B6"/>
    <mergeCell ref="C5:C6"/>
    <mergeCell ref="D5:E5"/>
    <mergeCell ref="F5:G5"/>
    <mergeCell ref="H5:H6"/>
    <mergeCell ref="C29:D29"/>
    <mergeCell ref="F29:H29"/>
  </mergeCells>
  <pageMargins left="0.70866141732283472" right="0.39370078740157483" top="0.74803149606299213" bottom="0.39370078740157483" header="0.31496062992125984" footer="0.31496062992125984"/>
  <pageSetup paperSize="9" scale="4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U95"/>
  <sheetViews>
    <sheetView tabSelected="1" topLeftCell="A3" zoomScale="89" zoomScaleNormal="89" workbookViewId="0">
      <selection activeCell="H30" sqref="H30:I30"/>
    </sheetView>
  </sheetViews>
  <sheetFormatPr defaultRowHeight="15.75" outlineLevelRow="1" x14ac:dyDescent="0.25"/>
  <cols>
    <col min="1" max="1" width="51.7109375" style="210" customWidth="1"/>
    <col min="2" max="2" width="13.5703125" style="228" customWidth="1"/>
    <col min="3" max="3" width="12.7109375" style="210" customWidth="1"/>
    <col min="4" max="4" width="13.85546875" style="210" customWidth="1"/>
    <col min="5" max="5" width="12.85546875" style="210" customWidth="1"/>
    <col min="6" max="6" width="13.42578125" style="210" customWidth="1"/>
    <col min="7" max="7" width="12.7109375" style="210" customWidth="1"/>
    <col min="8" max="8" width="13.5703125" style="210" customWidth="1"/>
    <col min="9" max="9" width="11.5703125" style="210" customWidth="1"/>
    <col min="10" max="10" width="14.28515625" style="210" customWidth="1"/>
    <col min="11" max="11" width="12.7109375" style="210" customWidth="1"/>
    <col min="12" max="12" width="12.5703125" style="210" customWidth="1"/>
    <col min="13" max="14" width="10.28515625" style="210" customWidth="1"/>
    <col min="15" max="15" width="9.7109375" style="210" customWidth="1"/>
    <col min="16" max="21" width="9.140625" style="210"/>
    <col min="22" max="256" width="9.140625" style="71"/>
    <col min="257" max="257" width="44.85546875" style="71" customWidth="1"/>
    <col min="258" max="258" width="13.5703125" style="71" customWidth="1"/>
    <col min="259" max="259" width="18.5703125" style="71" customWidth="1"/>
    <col min="260" max="260" width="16.140625" style="71" customWidth="1"/>
    <col min="261" max="261" width="15.42578125" style="71" customWidth="1"/>
    <col min="262" max="262" width="16.5703125" style="71" customWidth="1"/>
    <col min="263" max="263" width="15.28515625" style="71" customWidth="1"/>
    <col min="264" max="264" width="16.5703125" style="71" customWidth="1"/>
    <col min="265" max="265" width="16.140625" style="71" customWidth="1"/>
    <col min="266" max="266" width="16.42578125" style="71" customWidth="1"/>
    <col min="267" max="267" width="16.5703125" style="71" customWidth="1"/>
    <col min="268" max="268" width="16.85546875" style="71" customWidth="1"/>
    <col min="269" max="271" width="16.7109375" style="71" customWidth="1"/>
    <col min="272" max="512" width="9.140625" style="71"/>
    <col min="513" max="513" width="44.85546875" style="71" customWidth="1"/>
    <col min="514" max="514" width="13.5703125" style="71" customWidth="1"/>
    <col min="515" max="515" width="18.5703125" style="71" customWidth="1"/>
    <col min="516" max="516" width="16.140625" style="71" customWidth="1"/>
    <col min="517" max="517" width="15.42578125" style="71" customWidth="1"/>
    <col min="518" max="518" width="16.5703125" style="71" customWidth="1"/>
    <col min="519" max="519" width="15.28515625" style="71" customWidth="1"/>
    <col min="520" max="520" width="16.5703125" style="71" customWidth="1"/>
    <col min="521" max="521" width="16.140625" style="71" customWidth="1"/>
    <col min="522" max="522" width="16.42578125" style="71" customWidth="1"/>
    <col min="523" max="523" width="16.5703125" style="71" customWidth="1"/>
    <col min="524" max="524" width="16.85546875" style="71" customWidth="1"/>
    <col min="525" max="527" width="16.7109375" style="71" customWidth="1"/>
    <col min="528" max="768" width="9.140625" style="71"/>
    <col min="769" max="769" width="44.85546875" style="71" customWidth="1"/>
    <col min="770" max="770" width="13.5703125" style="71" customWidth="1"/>
    <col min="771" max="771" width="18.5703125" style="71" customWidth="1"/>
    <col min="772" max="772" width="16.140625" style="71" customWidth="1"/>
    <col min="773" max="773" width="15.42578125" style="71" customWidth="1"/>
    <col min="774" max="774" width="16.5703125" style="71" customWidth="1"/>
    <col min="775" max="775" width="15.28515625" style="71" customWidth="1"/>
    <col min="776" max="776" width="16.5703125" style="71" customWidth="1"/>
    <col min="777" max="777" width="16.140625" style="71" customWidth="1"/>
    <col min="778" max="778" width="16.42578125" style="71" customWidth="1"/>
    <col min="779" max="779" width="16.5703125" style="71" customWidth="1"/>
    <col min="780" max="780" width="16.85546875" style="71" customWidth="1"/>
    <col min="781" max="783" width="16.7109375" style="71" customWidth="1"/>
    <col min="784" max="1024" width="9.140625" style="71"/>
    <col min="1025" max="1025" width="44.85546875" style="71" customWidth="1"/>
    <col min="1026" max="1026" width="13.5703125" style="71" customWidth="1"/>
    <col min="1027" max="1027" width="18.5703125" style="71" customWidth="1"/>
    <col min="1028" max="1028" width="16.140625" style="71" customWidth="1"/>
    <col min="1029" max="1029" width="15.42578125" style="71" customWidth="1"/>
    <col min="1030" max="1030" width="16.5703125" style="71" customWidth="1"/>
    <col min="1031" max="1031" width="15.28515625" style="71" customWidth="1"/>
    <col min="1032" max="1032" width="16.5703125" style="71" customWidth="1"/>
    <col min="1033" max="1033" width="16.140625" style="71" customWidth="1"/>
    <col min="1034" max="1034" width="16.42578125" style="71" customWidth="1"/>
    <col min="1035" max="1035" width="16.5703125" style="71" customWidth="1"/>
    <col min="1036" max="1036" width="16.85546875" style="71" customWidth="1"/>
    <col min="1037" max="1039" width="16.7109375" style="71" customWidth="1"/>
    <col min="1040" max="1280" width="9.140625" style="71"/>
    <col min="1281" max="1281" width="44.85546875" style="71" customWidth="1"/>
    <col min="1282" max="1282" width="13.5703125" style="71" customWidth="1"/>
    <col min="1283" max="1283" width="18.5703125" style="71" customWidth="1"/>
    <col min="1284" max="1284" width="16.140625" style="71" customWidth="1"/>
    <col min="1285" max="1285" width="15.42578125" style="71" customWidth="1"/>
    <col min="1286" max="1286" width="16.5703125" style="71" customWidth="1"/>
    <col min="1287" max="1287" width="15.28515625" style="71" customWidth="1"/>
    <col min="1288" max="1288" width="16.5703125" style="71" customWidth="1"/>
    <col min="1289" max="1289" width="16.140625" style="71" customWidth="1"/>
    <col min="1290" max="1290" width="16.42578125" style="71" customWidth="1"/>
    <col min="1291" max="1291" width="16.5703125" style="71" customWidth="1"/>
    <col min="1292" max="1292" width="16.85546875" style="71" customWidth="1"/>
    <col min="1293" max="1295" width="16.7109375" style="71" customWidth="1"/>
    <col min="1296" max="1536" width="9.140625" style="71"/>
    <col min="1537" max="1537" width="44.85546875" style="71" customWidth="1"/>
    <col min="1538" max="1538" width="13.5703125" style="71" customWidth="1"/>
    <col min="1539" max="1539" width="18.5703125" style="71" customWidth="1"/>
    <col min="1540" max="1540" width="16.140625" style="71" customWidth="1"/>
    <col min="1541" max="1541" width="15.42578125" style="71" customWidth="1"/>
    <col min="1542" max="1542" width="16.5703125" style="71" customWidth="1"/>
    <col min="1543" max="1543" width="15.28515625" style="71" customWidth="1"/>
    <col min="1544" max="1544" width="16.5703125" style="71" customWidth="1"/>
    <col min="1545" max="1545" width="16.140625" style="71" customWidth="1"/>
    <col min="1546" max="1546" width="16.42578125" style="71" customWidth="1"/>
    <col min="1547" max="1547" width="16.5703125" style="71" customWidth="1"/>
    <col min="1548" max="1548" width="16.85546875" style="71" customWidth="1"/>
    <col min="1549" max="1551" width="16.7109375" style="71" customWidth="1"/>
    <col min="1552" max="1792" width="9.140625" style="71"/>
    <col min="1793" max="1793" width="44.85546875" style="71" customWidth="1"/>
    <col min="1794" max="1794" width="13.5703125" style="71" customWidth="1"/>
    <col min="1795" max="1795" width="18.5703125" style="71" customWidth="1"/>
    <col min="1796" max="1796" width="16.140625" style="71" customWidth="1"/>
    <col min="1797" max="1797" width="15.42578125" style="71" customWidth="1"/>
    <col min="1798" max="1798" width="16.5703125" style="71" customWidth="1"/>
    <col min="1799" max="1799" width="15.28515625" style="71" customWidth="1"/>
    <col min="1800" max="1800" width="16.5703125" style="71" customWidth="1"/>
    <col min="1801" max="1801" width="16.140625" style="71" customWidth="1"/>
    <col min="1802" max="1802" width="16.42578125" style="71" customWidth="1"/>
    <col min="1803" max="1803" width="16.5703125" style="71" customWidth="1"/>
    <col min="1804" max="1804" width="16.85546875" style="71" customWidth="1"/>
    <col min="1805" max="1807" width="16.7109375" style="71" customWidth="1"/>
    <col min="1808" max="2048" width="9.140625" style="71"/>
    <col min="2049" max="2049" width="44.85546875" style="71" customWidth="1"/>
    <col min="2050" max="2050" width="13.5703125" style="71" customWidth="1"/>
    <col min="2051" max="2051" width="18.5703125" style="71" customWidth="1"/>
    <col min="2052" max="2052" width="16.140625" style="71" customWidth="1"/>
    <col min="2053" max="2053" width="15.42578125" style="71" customWidth="1"/>
    <col min="2054" max="2054" width="16.5703125" style="71" customWidth="1"/>
    <col min="2055" max="2055" width="15.28515625" style="71" customWidth="1"/>
    <col min="2056" max="2056" width="16.5703125" style="71" customWidth="1"/>
    <col min="2057" max="2057" width="16.140625" style="71" customWidth="1"/>
    <col min="2058" max="2058" width="16.42578125" style="71" customWidth="1"/>
    <col min="2059" max="2059" width="16.5703125" style="71" customWidth="1"/>
    <col min="2060" max="2060" width="16.85546875" style="71" customWidth="1"/>
    <col min="2061" max="2063" width="16.7109375" style="71" customWidth="1"/>
    <col min="2064" max="2304" width="9.140625" style="71"/>
    <col min="2305" max="2305" width="44.85546875" style="71" customWidth="1"/>
    <col min="2306" max="2306" width="13.5703125" style="71" customWidth="1"/>
    <col min="2307" max="2307" width="18.5703125" style="71" customWidth="1"/>
    <col min="2308" max="2308" width="16.140625" style="71" customWidth="1"/>
    <col min="2309" max="2309" width="15.42578125" style="71" customWidth="1"/>
    <col min="2310" max="2310" width="16.5703125" style="71" customWidth="1"/>
    <col min="2311" max="2311" width="15.28515625" style="71" customWidth="1"/>
    <col min="2312" max="2312" width="16.5703125" style="71" customWidth="1"/>
    <col min="2313" max="2313" width="16.140625" style="71" customWidth="1"/>
    <col min="2314" max="2314" width="16.42578125" style="71" customWidth="1"/>
    <col min="2315" max="2315" width="16.5703125" style="71" customWidth="1"/>
    <col min="2316" max="2316" width="16.85546875" style="71" customWidth="1"/>
    <col min="2317" max="2319" width="16.7109375" style="71" customWidth="1"/>
    <col min="2320" max="2560" width="9.140625" style="71"/>
    <col min="2561" max="2561" width="44.85546875" style="71" customWidth="1"/>
    <col min="2562" max="2562" width="13.5703125" style="71" customWidth="1"/>
    <col min="2563" max="2563" width="18.5703125" style="71" customWidth="1"/>
    <col min="2564" max="2564" width="16.140625" style="71" customWidth="1"/>
    <col min="2565" max="2565" width="15.42578125" style="71" customWidth="1"/>
    <col min="2566" max="2566" width="16.5703125" style="71" customWidth="1"/>
    <col min="2567" max="2567" width="15.28515625" style="71" customWidth="1"/>
    <col min="2568" max="2568" width="16.5703125" style="71" customWidth="1"/>
    <col min="2569" max="2569" width="16.140625" style="71" customWidth="1"/>
    <col min="2570" max="2570" width="16.42578125" style="71" customWidth="1"/>
    <col min="2571" max="2571" width="16.5703125" style="71" customWidth="1"/>
    <col min="2572" max="2572" width="16.85546875" style="71" customWidth="1"/>
    <col min="2573" max="2575" width="16.7109375" style="71" customWidth="1"/>
    <col min="2576" max="2816" width="9.140625" style="71"/>
    <col min="2817" max="2817" width="44.85546875" style="71" customWidth="1"/>
    <col min="2818" max="2818" width="13.5703125" style="71" customWidth="1"/>
    <col min="2819" max="2819" width="18.5703125" style="71" customWidth="1"/>
    <col min="2820" max="2820" width="16.140625" style="71" customWidth="1"/>
    <col min="2821" max="2821" width="15.42578125" style="71" customWidth="1"/>
    <col min="2822" max="2822" width="16.5703125" style="71" customWidth="1"/>
    <col min="2823" max="2823" width="15.28515625" style="71" customWidth="1"/>
    <col min="2824" max="2824" width="16.5703125" style="71" customWidth="1"/>
    <col min="2825" max="2825" width="16.140625" style="71" customWidth="1"/>
    <col min="2826" max="2826" width="16.42578125" style="71" customWidth="1"/>
    <col min="2827" max="2827" width="16.5703125" style="71" customWidth="1"/>
    <col min="2828" max="2828" width="16.85546875" style="71" customWidth="1"/>
    <col min="2829" max="2831" width="16.7109375" style="71" customWidth="1"/>
    <col min="2832" max="3072" width="9.140625" style="71"/>
    <col min="3073" max="3073" width="44.85546875" style="71" customWidth="1"/>
    <col min="3074" max="3074" width="13.5703125" style="71" customWidth="1"/>
    <col min="3075" max="3075" width="18.5703125" style="71" customWidth="1"/>
    <col min="3076" max="3076" width="16.140625" style="71" customWidth="1"/>
    <col min="3077" max="3077" width="15.42578125" style="71" customWidth="1"/>
    <col min="3078" max="3078" width="16.5703125" style="71" customWidth="1"/>
    <col min="3079" max="3079" width="15.28515625" style="71" customWidth="1"/>
    <col min="3080" max="3080" width="16.5703125" style="71" customWidth="1"/>
    <col min="3081" max="3081" width="16.140625" style="71" customWidth="1"/>
    <col min="3082" max="3082" width="16.42578125" style="71" customWidth="1"/>
    <col min="3083" max="3083" width="16.5703125" style="71" customWidth="1"/>
    <col min="3084" max="3084" width="16.85546875" style="71" customWidth="1"/>
    <col min="3085" max="3087" width="16.7109375" style="71" customWidth="1"/>
    <col min="3088" max="3328" width="9.140625" style="71"/>
    <col min="3329" max="3329" width="44.85546875" style="71" customWidth="1"/>
    <col min="3330" max="3330" width="13.5703125" style="71" customWidth="1"/>
    <col min="3331" max="3331" width="18.5703125" style="71" customWidth="1"/>
    <col min="3332" max="3332" width="16.140625" style="71" customWidth="1"/>
    <col min="3333" max="3333" width="15.42578125" style="71" customWidth="1"/>
    <col min="3334" max="3334" width="16.5703125" style="71" customWidth="1"/>
    <col min="3335" max="3335" width="15.28515625" style="71" customWidth="1"/>
    <col min="3336" max="3336" width="16.5703125" style="71" customWidth="1"/>
    <col min="3337" max="3337" width="16.140625" style="71" customWidth="1"/>
    <col min="3338" max="3338" width="16.42578125" style="71" customWidth="1"/>
    <col min="3339" max="3339" width="16.5703125" style="71" customWidth="1"/>
    <col min="3340" max="3340" width="16.85546875" style="71" customWidth="1"/>
    <col min="3341" max="3343" width="16.7109375" style="71" customWidth="1"/>
    <col min="3344" max="3584" width="9.140625" style="71"/>
    <col min="3585" max="3585" width="44.85546875" style="71" customWidth="1"/>
    <col min="3586" max="3586" width="13.5703125" style="71" customWidth="1"/>
    <col min="3587" max="3587" width="18.5703125" style="71" customWidth="1"/>
    <col min="3588" max="3588" width="16.140625" style="71" customWidth="1"/>
    <col min="3589" max="3589" width="15.42578125" style="71" customWidth="1"/>
    <col min="3590" max="3590" width="16.5703125" style="71" customWidth="1"/>
    <col min="3591" max="3591" width="15.28515625" style="71" customWidth="1"/>
    <col min="3592" max="3592" width="16.5703125" style="71" customWidth="1"/>
    <col min="3593" max="3593" width="16.140625" style="71" customWidth="1"/>
    <col min="3594" max="3594" width="16.42578125" style="71" customWidth="1"/>
    <col min="3595" max="3595" width="16.5703125" style="71" customWidth="1"/>
    <col min="3596" max="3596" width="16.85546875" style="71" customWidth="1"/>
    <col min="3597" max="3599" width="16.7109375" style="71" customWidth="1"/>
    <col min="3600" max="3840" width="9.140625" style="71"/>
    <col min="3841" max="3841" width="44.85546875" style="71" customWidth="1"/>
    <col min="3842" max="3842" width="13.5703125" style="71" customWidth="1"/>
    <col min="3843" max="3843" width="18.5703125" style="71" customWidth="1"/>
    <col min="3844" max="3844" width="16.140625" style="71" customWidth="1"/>
    <col min="3845" max="3845" width="15.42578125" style="71" customWidth="1"/>
    <col min="3846" max="3846" width="16.5703125" style="71" customWidth="1"/>
    <col min="3847" max="3847" width="15.28515625" style="71" customWidth="1"/>
    <col min="3848" max="3848" width="16.5703125" style="71" customWidth="1"/>
    <col min="3849" max="3849" width="16.140625" style="71" customWidth="1"/>
    <col min="3850" max="3850" width="16.42578125" style="71" customWidth="1"/>
    <col min="3851" max="3851" width="16.5703125" style="71" customWidth="1"/>
    <col min="3852" max="3852" width="16.85546875" style="71" customWidth="1"/>
    <col min="3853" max="3855" width="16.7109375" style="71" customWidth="1"/>
    <col min="3856" max="4096" width="9.140625" style="71"/>
    <col min="4097" max="4097" width="44.85546875" style="71" customWidth="1"/>
    <col min="4098" max="4098" width="13.5703125" style="71" customWidth="1"/>
    <col min="4099" max="4099" width="18.5703125" style="71" customWidth="1"/>
    <col min="4100" max="4100" width="16.140625" style="71" customWidth="1"/>
    <col min="4101" max="4101" width="15.42578125" style="71" customWidth="1"/>
    <col min="4102" max="4102" width="16.5703125" style="71" customWidth="1"/>
    <col min="4103" max="4103" width="15.28515625" style="71" customWidth="1"/>
    <col min="4104" max="4104" width="16.5703125" style="71" customWidth="1"/>
    <col min="4105" max="4105" width="16.140625" style="71" customWidth="1"/>
    <col min="4106" max="4106" width="16.42578125" style="71" customWidth="1"/>
    <col min="4107" max="4107" width="16.5703125" style="71" customWidth="1"/>
    <col min="4108" max="4108" width="16.85546875" style="71" customWidth="1"/>
    <col min="4109" max="4111" width="16.7109375" style="71" customWidth="1"/>
    <col min="4112" max="4352" width="9.140625" style="71"/>
    <col min="4353" max="4353" width="44.85546875" style="71" customWidth="1"/>
    <col min="4354" max="4354" width="13.5703125" style="71" customWidth="1"/>
    <col min="4355" max="4355" width="18.5703125" style="71" customWidth="1"/>
    <col min="4356" max="4356" width="16.140625" style="71" customWidth="1"/>
    <col min="4357" max="4357" width="15.42578125" style="71" customWidth="1"/>
    <col min="4358" max="4358" width="16.5703125" style="71" customWidth="1"/>
    <col min="4359" max="4359" width="15.28515625" style="71" customWidth="1"/>
    <col min="4360" max="4360" width="16.5703125" style="71" customWidth="1"/>
    <col min="4361" max="4361" width="16.140625" style="71" customWidth="1"/>
    <col min="4362" max="4362" width="16.42578125" style="71" customWidth="1"/>
    <col min="4363" max="4363" width="16.5703125" style="71" customWidth="1"/>
    <col min="4364" max="4364" width="16.85546875" style="71" customWidth="1"/>
    <col min="4365" max="4367" width="16.7109375" style="71" customWidth="1"/>
    <col min="4368" max="4608" width="9.140625" style="71"/>
    <col min="4609" max="4609" width="44.85546875" style="71" customWidth="1"/>
    <col min="4610" max="4610" width="13.5703125" style="71" customWidth="1"/>
    <col min="4611" max="4611" width="18.5703125" style="71" customWidth="1"/>
    <col min="4612" max="4612" width="16.140625" style="71" customWidth="1"/>
    <col min="4613" max="4613" width="15.42578125" style="71" customWidth="1"/>
    <col min="4614" max="4614" width="16.5703125" style="71" customWidth="1"/>
    <col min="4615" max="4615" width="15.28515625" style="71" customWidth="1"/>
    <col min="4616" max="4616" width="16.5703125" style="71" customWidth="1"/>
    <col min="4617" max="4617" width="16.140625" style="71" customWidth="1"/>
    <col min="4618" max="4618" width="16.42578125" style="71" customWidth="1"/>
    <col min="4619" max="4619" width="16.5703125" style="71" customWidth="1"/>
    <col min="4620" max="4620" width="16.85546875" style="71" customWidth="1"/>
    <col min="4621" max="4623" width="16.7109375" style="71" customWidth="1"/>
    <col min="4624" max="4864" width="9.140625" style="71"/>
    <col min="4865" max="4865" width="44.85546875" style="71" customWidth="1"/>
    <col min="4866" max="4866" width="13.5703125" style="71" customWidth="1"/>
    <col min="4867" max="4867" width="18.5703125" style="71" customWidth="1"/>
    <col min="4868" max="4868" width="16.140625" style="71" customWidth="1"/>
    <col min="4869" max="4869" width="15.42578125" style="71" customWidth="1"/>
    <col min="4870" max="4870" width="16.5703125" style="71" customWidth="1"/>
    <col min="4871" max="4871" width="15.28515625" style="71" customWidth="1"/>
    <col min="4872" max="4872" width="16.5703125" style="71" customWidth="1"/>
    <col min="4873" max="4873" width="16.140625" style="71" customWidth="1"/>
    <col min="4874" max="4874" width="16.42578125" style="71" customWidth="1"/>
    <col min="4875" max="4875" width="16.5703125" style="71" customWidth="1"/>
    <col min="4876" max="4876" width="16.85546875" style="71" customWidth="1"/>
    <col min="4877" max="4879" width="16.7109375" style="71" customWidth="1"/>
    <col min="4880" max="5120" width="9.140625" style="71"/>
    <col min="5121" max="5121" width="44.85546875" style="71" customWidth="1"/>
    <col min="5122" max="5122" width="13.5703125" style="71" customWidth="1"/>
    <col min="5123" max="5123" width="18.5703125" style="71" customWidth="1"/>
    <col min="5124" max="5124" width="16.140625" style="71" customWidth="1"/>
    <col min="5125" max="5125" width="15.42578125" style="71" customWidth="1"/>
    <col min="5126" max="5126" width="16.5703125" style="71" customWidth="1"/>
    <col min="5127" max="5127" width="15.28515625" style="71" customWidth="1"/>
    <col min="5128" max="5128" width="16.5703125" style="71" customWidth="1"/>
    <col min="5129" max="5129" width="16.140625" style="71" customWidth="1"/>
    <col min="5130" max="5130" width="16.42578125" style="71" customWidth="1"/>
    <col min="5131" max="5131" width="16.5703125" style="71" customWidth="1"/>
    <col min="5132" max="5132" width="16.85546875" style="71" customWidth="1"/>
    <col min="5133" max="5135" width="16.7109375" style="71" customWidth="1"/>
    <col min="5136" max="5376" width="9.140625" style="71"/>
    <col min="5377" max="5377" width="44.85546875" style="71" customWidth="1"/>
    <col min="5378" max="5378" width="13.5703125" style="71" customWidth="1"/>
    <col min="5379" max="5379" width="18.5703125" style="71" customWidth="1"/>
    <col min="5380" max="5380" width="16.140625" style="71" customWidth="1"/>
    <col min="5381" max="5381" width="15.42578125" style="71" customWidth="1"/>
    <col min="5382" max="5382" width="16.5703125" style="71" customWidth="1"/>
    <col min="5383" max="5383" width="15.28515625" style="71" customWidth="1"/>
    <col min="5384" max="5384" width="16.5703125" style="71" customWidth="1"/>
    <col min="5385" max="5385" width="16.140625" style="71" customWidth="1"/>
    <col min="5386" max="5386" width="16.42578125" style="71" customWidth="1"/>
    <col min="5387" max="5387" width="16.5703125" style="71" customWidth="1"/>
    <col min="5388" max="5388" width="16.85546875" style="71" customWidth="1"/>
    <col min="5389" max="5391" width="16.7109375" style="71" customWidth="1"/>
    <col min="5392" max="5632" width="9.140625" style="71"/>
    <col min="5633" max="5633" width="44.85546875" style="71" customWidth="1"/>
    <col min="5634" max="5634" width="13.5703125" style="71" customWidth="1"/>
    <col min="5635" max="5635" width="18.5703125" style="71" customWidth="1"/>
    <col min="5636" max="5636" width="16.140625" style="71" customWidth="1"/>
    <col min="5637" max="5637" width="15.42578125" style="71" customWidth="1"/>
    <col min="5638" max="5638" width="16.5703125" style="71" customWidth="1"/>
    <col min="5639" max="5639" width="15.28515625" style="71" customWidth="1"/>
    <col min="5640" max="5640" width="16.5703125" style="71" customWidth="1"/>
    <col min="5641" max="5641" width="16.140625" style="71" customWidth="1"/>
    <col min="5642" max="5642" width="16.42578125" style="71" customWidth="1"/>
    <col min="5643" max="5643" width="16.5703125" style="71" customWidth="1"/>
    <col min="5644" max="5644" width="16.85546875" style="71" customWidth="1"/>
    <col min="5645" max="5647" width="16.7109375" style="71" customWidth="1"/>
    <col min="5648" max="5888" width="9.140625" style="71"/>
    <col min="5889" max="5889" width="44.85546875" style="71" customWidth="1"/>
    <col min="5890" max="5890" width="13.5703125" style="71" customWidth="1"/>
    <col min="5891" max="5891" width="18.5703125" style="71" customWidth="1"/>
    <col min="5892" max="5892" width="16.140625" style="71" customWidth="1"/>
    <col min="5893" max="5893" width="15.42578125" style="71" customWidth="1"/>
    <col min="5894" max="5894" width="16.5703125" style="71" customWidth="1"/>
    <col min="5895" max="5895" width="15.28515625" style="71" customWidth="1"/>
    <col min="5896" max="5896" width="16.5703125" style="71" customWidth="1"/>
    <col min="5897" max="5897" width="16.140625" style="71" customWidth="1"/>
    <col min="5898" max="5898" width="16.42578125" style="71" customWidth="1"/>
    <col min="5899" max="5899" width="16.5703125" style="71" customWidth="1"/>
    <col min="5900" max="5900" width="16.85546875" style="71" customWidth="1"/>
    <col min="5901" max="5903" width="16.7109375" style="71" customWidth="1"/>
    <col min="5904" max="6144" width="9.140625" style="71"/>
    <col min="6145" max="6145" width="44.85546875" style="71" customWidth="1"/>
    <col min="6146" max="6146" width="13.5703125" style="71" customWidth="1"/>
    <col min="6147" max="6147" width="18.5703125" style="71" customWidth="1"/>
    <col min="6148" max="6148" width="16.140625" style="71" customWidth="1"/>
    <col min="6149" max="6149" width="15.42578125" style="71" customWidth="1"/>
    <col min="6150" max="6150" width="16.5703125" style="71" customWidth="1"/>
    <col min="6151" max="6151" width="15.28515625" style="71" customWidth="1"/>
    <col min="6152" max="6152" width="16.5703125" style="71" customWidth="1"/>
    <col min="6153" max="6153" width="16.140625" style="71" customWidth="1"/>
    <col min="6154" max="6154" width="16.42578125" style="71" customWidth="1"/>
    <col min="6155" max="6155" width="16.5703125" style="71" customWidth="1"/>
    <col min="6156" max="6156" width="16.85546875" style="71" customWidth="1"/>
    <col min="6157" max="6159" width="16.7109375" style="71" customWidth="1"/>
    <col min="6160" max="6400" width="9.140625" style="71"/>
    <col min="6401" max="6401" width="44.85546875" style="71" customWidth="1"/>
    <col min="6402" max="6402" width="13.5703125" style="71" customWidth="1"/>
    <col min="6403" max="6403" width="18.5703125" style="71" customWidth="1"/>
    <col min="6404" max="6404" width="16.140625" style="71" customWidth="1"/>
    <col min="6405" max="6405" width="15.42578125" style="71" customWidth="1"/>
    <col min="6406" max="6406" width="16.5703125" style="71" customWidth="1"/>
    <col min="6407" max="6407" width="15.28515625" style="71" customWidth="1"/>
    <col min="6408" max="6408" width="16.5703125" style="71" customWidth="1"/>
    <col min="6409" max="6409" width="16.140625" style="71" customWidth="1"/>
    <col min="6410" max="6410" width="16.42578125" style="71" customWidth="1"/>
    <col min="6411" max="6411" width="16.5703125" style="71" customWidth="1"/>
    <col min="6412" max="6412" width="16.85546875" style="71" customWidth="1"/>
    <col min="6413" max="6415" width="16.7109375" style="71" customWidth="1"/>
    <col min="6416" max="6656" width="9.140625" style="71"/>
    <col min="6657" max="6657" width="44.85546875" style="71" customWidth="1"/>
    <col min="6658" max="6658" width="13.5703125" style="71" customWidth="1"/>
    <col min="6659" max="6659" width="18.5703125" style="71" customWidth="1"/>
    <col min="6660" max="6660" width="16.140625" style="71" customWidth="1"/>
    <col min="6661" max="6661" width="15.42578125" style="71" customWidth="1"/>
    <col min="6662" max="6662" width="16.5703125" style="71" customWidth="1"/>
    <col min="6663" max="6663" width="15.28515625" style="71" customWidth="1"/>
    <col min="6664" max="6664" width="16.5703125" style="71" customWidth="1"/>
    <col min="6665" max="6665" width="16.140625" style="71" customWidth="1"/>
    <col min="6666" max="6666" width="16.42578125" style="71" customWidth="1"/>
    <col min="6667" max="6667" width="16.5703125" style="71" customWidth="1"/>
    <col min="6668" max="6668" width="16.85546875" style="71" customWidth="1"/>
    <col min="6669" max="6671" width="16.7109375" style="71" customWidth="1"/>
    <col min="6672" max="6912" width="9.140625" style="71"/>
    <col min="6913" max="6913" width="44.85546875" style="71" customWidth="1"/>
    <col min="6914" max="6914" width="13.5703125" style="71" customWidth="1"/>
    <col min="6915" max="6915" width="18.5703125" style="71" customWidth="1"/>
    <col min="6916" max="6916" width="16.140625" style="71" customWidth="1"/>
    <col min="6917" max="6917" width="15.42578125" style="71" customWidth="1"/>
    <col min="6918" max="6918" width="16.5703125" style="71" customWidth="1"/>
    <col min="6919" max="6919" width="15.28515625" style="71" customWidth="1"/>
    <col min="6920" max="6920" width="16.5703125" style="71" customWidth="1"/>
    <col min="6921" max="6921" width="16.140625" style="71" customWidth="1"/>
    <col min="6922" max="6922" width="16.42578125" style="71" customWidth="1"/>
    <col min="6923" max="6923" width="16.5703125" style="71" customWidth="1"/>
    <col min="6924" max="6924" width="16.85546875" style="71" customWidth="1"/>
    <col min="6925" max="6927" width="16.7109375" style="71" customWidth="1"/>
    <col min="6928" max="7168" width="9.140625" style="71"/>
    <col min="7169" max="7169" width="44.85546875" style="71" customWidth="1"/>
    <col min="7170" max="7170" width="13.5703125" style="71" customWidth="1"/>
    <col min="7171" max="7171" width="18.5703125" style="71" customWidth="1"/>
    <col min="7172" max="7172" width="16.140625" style="71" customWidth="1"/>
    <col min="7173" max="7173" width="15.42578125" style="71" customWidth="1"/>
    <col min="7174" max="7174" width="16.5703125" style="71" customWidth="1"/>
    <col min="7175" max="7175" width="15.28515625" style="71" customWidth="1"/>
    <col min="7176" max="7176" width="16.5703125" style="71" customWidth="1"/>
    <col min="7177" max="7177" width="16.140625" style="71" customWidth="1"/>
    <col min="7178" max="7178" width="16.42578125" style="71" customWidth="1"/>
    <col min="7179" max="7179" width="16.5703125" style="71" customWidth="1"/>
    <col min="7180" max="7180" width="16.85546875" style="71" customWidth="1"/>
    <col min="7181" max="7183" width="16.7109375" style="71" customWidth="1"/>
    <col min="7184" max="7424" width="9.140625" style="71"/>
    <col min="7425" max="7425" width="44.85546875" style="71" customWidth="1"/>
    <col min="7426" max="7426" width="13.5703125" style="71" customWidth="1"/>
    <col min="7427" max="7427" width="18.5703125" style="71" customWidth="1"/>
    <col min="7428" max="7428" width="16.140625" style="71" customWidth="1"/>
    <col min="7429" max="7429" width="15.42578125" style="71" customWidth="1"/>
    <col min="7430" max="7430" width="16.5703125" style="71" customWidth="1"/>
    <col min="7431" max="7431" width="15.28515625" style="71" customWidth="1"/>
    <col min="7432" max="7432" width="16.5703125" style="71" customWidth="1"/>
    <col min="7433" max="7433" width="16.140625" style="71" customWidth="1"/>
    <col min="7434" max="7434" width="16.42578125" style="71" customWidth="1"/>
    <col min="7435" max="7435" width="16.5703125" style="71" customWidth="1"/>
    <col min="7436" max="7436" width="16.85546875" style="71" customWidth="1"/>
    <col min="7437" max="7439" width="16.7109375" style="71" customWidth="1"/>
    <col min="7440" max="7680" width="9.140625" style="71"/>
    <col min="7681" max="7681" width="44.85546875" style="71" customWidth="1"/>
    <col min="7682" max="7682" width="13.5703125" style="71" customWidth="1"/>
    <col min="7683" max="7683" width="18.5703125" style="71" customWidth="1"/>
    <col min="7684" max="7684" width="16.140625" style="71" customWidth="1"/>
    <col min="7685" max="7685" width="15.42578125" style="71" customWidth="1"/>
    <col min="7686" max="7686" width="16.5703125" style="71" customWidth="1"/>
    <col min="7687" max="7687" width="15.28515625" style="71" customWidth="1"/>
    <col min="7688" max="7688" width="16.5703125" style="71" customWidth="1"/>
    <col min="7689" max="7689" width="16.140625" style="71" customWidth="1"/>
    <col min="7690" max="7690" width="16.42578125" style="71" customWidth="1"/>
    <col min="7691" max="7691" width="16.5703125" style="71" customWidth="1"/>
    <col min="7692" max="7692" width="16.85546875" style="71" customWidth="1"/>
    <col min="7693" max="7695" width="16.7109375" style="71" customWidth="1"/>
    <col min="7696" max="7936" width="9.140625" style="71"/>
    <col min="7937" max="7937" width="44.85546875" style="71" customWidth="1"/>
    <col min="7938" max="7938" width="13.5703125" style="71" customWidth="1"/>
    <col min="7939" max="7939" width="18.5703125" style="71" customWidth="1"/>
    <col min="7940" max="7940" width="16.140625" style="71" customWidth="1"/>
    <col min="7941" max="7941" width="15.42578125" style="71" customWidth="1"/>
    <col min="7942" max="7942" width="16.5703125" style="71" customWidth="1"/>
    <col min="7943" max="7943" width="15.28515625" style="71" customWidth="1"/>
    <col min="7944" max="7944" width="16.5703125" style="71" customWidth="1"/>
    <col min="7945" max="7945" width="16.140625" style="71" customWidth="1"/>
    <col min="7946" max="7946" width="16.42578125" style="71" customWidth="1"/>
    <col min="7947" max="7947" width="16.5703125" style="71" customWidth="1"/>
    <col min="7948" max="7948" width="16.85546875" style="71" customWidth="1"/>
    <col min="7949" max="7951" width="16.7109375" style="71" customWidth="1"/>
    <col min="7952" max="8192" width="9.140625" style="71"/>
    <col min="8193" max="8193" width="44.85546875" style="71" customWidth="1"/>
    <col min="8194" max="8194" width="13.5703125" style="71" customWidth="1"/>
    <col min="8195" max="8195" width="18.5703125" style="71" customWidth="1"/>
    <col min="8196" max="8196" width="16.140625" style="71" customWidth="1"/>
    <col min="8197" max="8197" width="15.42578125" style="71" customWidth="1"/>
    <col min="8198" max="8198" width="16.5703125" style="71" customWidth="1"/>
    <col min="8199" max="8199" width="15.28515625" style="71" customWidth="1"/>
    <col min="8200" max="8200" width="16.5703125" style="71" customWidth="1"/>
    <col min="8201" max="8201" width="16.140625" style="71" customWidth="1"/>
    <col min="8202" max="8202" width="16.42578125" style="71" customWidth="1"/>
    <col min="8203" max="8203" width="16.5703125" style="71" customWidth="1"/>
    <col min="8204" max="8204" width="16.85546875" style="71" customWidth="1"/>
    <col min="8205" max="8207" width="16.7109375" style="71" customWidth="1"/>
    <col min="8208" max="8448" width="9.140625" style="71"/>
    <col min="8449" max="8449" width="44.85546875" style="71" customWidth="1"/>
    <col min="8450" max="8450" width="13.5703125" style="71" customWidth="1"/>
    <col min="8451" max="8451" width="18.5703125" style="71" customWidth="1"/>
    <col min="8452" max="8452" width="16.140625" style="71" customWidth="1"/>
    <col min="8453" max="8453" width="15.42578125" style="71" customWidth="1"/>
    <col min="8454" max="8454" width="16.5703125" style="71" customWidth="1"/>
    <col min="8455" max="8455" width="15.28515625" style="71" customWidth="1"/>
    <col min="8456" max="8456" width="16.5703125" style="71" customWidth="1"/>
    <col min="8457" max="8457" width="16.140625" style="71" customWidth="1"/>
    <col min="8458" max="8458" width="16.42578125" style="71" customWidth="1"/>
    <col min="8459" max="8459" width="16.5703125" style="71" customWidth="1"/>
    <col min="8460" max="8460" width="16.85546875" style="71" customWidth="1"/>
    <col min="8461" max="8463" width="16.7109375" style="71" customWidth="1"/>
    <col min="8464" max="8704" width="9.140625" style="71"/>
    <col min="8705" max="8705" width="44.85546875" style="71" customWidth="1"/>
    <col min="8706" max="8706" width="13.5703125" style="71" customWidth="1"/>
    <col min="8707" max="8707" width="18.5703125" style="71" customWidth="1"/>
    <col min="8708" max="8708" width="16.140625" style="71" customWidth="1"/>
    <col min="8709" max="8709" width="15.42578125" style="71" customWidth="1"/>
    <col min="8710" max="8710" width="16.5703125" style="71" customWidth="1"/>
    <col min="8711" max="8711" width="15.28515625" style="71" customWidth="1"/>
    <col min="8712" max="8712" width="16.5703125" style="71" customWidth="1"/>
    <col min="8713" max="8713" width="16.140625" style="71" customWidth="1"/>
    <col min="8714" max="8714" width="16.42578125" style="71" customWidth="1"/>
    <col min="8715" max="8715" width="16.5703125" style="71" customWidth="1"/>
    <col min="8716" max="8716" width="16.85546875" style="71" customWidth="1"/>
    <col min="8717" max="8719" width="16.7109375" style="71" customWidth="1"/>
    <col min="8720" max="8960" width="9.140625" style="71"/>
    <col min="8961" max="8961" width="44.85546875" style="71" customWidth="1"/>
    <col min="8962" max="8962" width="13.5703125" style="71" customWidth="1"/>
    <col min="8963" max="8963" width="18.5703125" style="71" customWidth="1"/>
    <col min="8964" max="8964" width="16.140625" style="71" customWidth="1"/>
    <col min="8965" max="8965" width="15.42578125" style="71" customWidth="1"/>
    <col min="8966" max="8966" width="16.5703125" style="71" customWidth="1"/>
    <col min="8967" max="8967" width="15.28515625" style="71" customWidth="1"/>
    <col min="8968" max="8968" width="16.5703125" style="71" customWidth="1"/>
    <col min="8969" max="8969" width="16.140625" style="71" customWidth="1"/>
    <col min="8970" max="8970" width="16.42578125" style="71" customWidth="1"/>
    <col min="8971" max="8971" width="16.5703125" style="71" customWidth="1"/>
    <col min="8972" max="8972" width="16.85546875" style="71" customWidth="1"/>
    <col min="8973" max="8975" width="16.7109375" style="71" customWidth="1"/>
    <col min="8976" max="9216" width="9.140625" style="71"/>
    <col min="9217" max="9217" width="44.85546875" style="71" customWidth="1"/>
    <col min="9218" max="9218" width="13.5703125" style="71" customWidth="1"/>
    <col min="9219" max="9219" width="18.5703125" style="71" customWidth="1"/>
    <col min="9220" max="9220" width="16.140625" style="71" customWidth="1"/>
    <col min="9221" max="9221" width="15.42578125" style="71" customWidth="1"/>
    <col min="9222" max="9222" width="16.5703125" style="71" customWidth="1"/>
    <col min="9223" max="9223" width="15.28515625" style="71" customWidth="1"/>
    <col min="9224" max="9224" width="16.5703125" style="71" customWidth="1"/>
    <col min="9225" max="9225" width="16.140625" style="71" customWidth="1"/>
    <col min="9226" max="9226" width="16.42578125" style="71" customWidth="1"/>
    <col min="9227" max="9227" width="16.5703125" style="71" customWidth="1"/>
    <col min="9228" max="9228" width="16.85546875" style="71" customWidth="1"/>
    <col min="9229" max="9231" width="16.7109375" style="71" customWidth="1"/>
    <col min="9232" max="9472" width="9.140625" style="71"/>
    <col min="9473" max="9473" width="44.85546875" style="71" customWidth="1"/>
    <col min="9474" max="9474" width="13.5703125" style="71" customWidth="1"/>
    <col min="9475" max="9475" width="18.5703125" style="71" customWidth="1"/>
    <col min="9476" max="9476" width="16.140625" style="71" customWidth="1"/>
    <col min="9477" max="9477" width="15.42578125" style="71" customWidth="1"/>
    <col min="9478" max="9478" width="16.5703125" style="71" customWidth="1"/>
    <col min="9479" max="9479" width="15.28515625" style="71" customWidth="1"/>
    <col min="9480" max="9480" width="16.5703125" style="71" customWidth="1"/>
    <col min="9481" max="9481" width="16.140625" style="71" customWidth="1"/>
    <col min="9482" max="9482" width="16.42578125" style="71" customWidth="1"/>
    <col min="9483" max="9483" width="16.5703125" style="71" customWidth="1"/>
    <col min="9484" max="9484" width="16.85546875" style="71" customWidth="1"/>
    <col min="9485" max="9487" width="16.7109375" style="71" customWidth="1"/>
    <col min="9488" max="9728" width="9.140625" style="71"/>
    <col min="9729" max="9729" width="44.85546875" style="71" customWidth="1"/>
    <col min="9730" max="9730" width="13.5703125" style="71" customWidth="1"/>
    <col min="9731" max="9731" width="18.5703125" style="71" customWidth="1"/>
    <col min="9732" max="9732" width="16.140625" style="71" customWidth="1"/>
    <col min="9733" max="9733" width="15.42578125" style="71" customWidth="1"/>
    <col min="9734" max="9734" width="16.5703125" style="71" customWidth="1"/>
    <col min="9735" max="9735" width="15.28515625" style="71" customWidth="1"/>
    <col min="9736" max="9736" width="16.5703125" style="71" customWidth="1"/>
    <col min="9737" max="9737" width="16.140625" style="71" customWidth="1"/>
    <col min="9738" max="9738" width="16.42578125" style="71" customWidth="1"/>
    <col min="9739" max="9739" width="16.5703125" style="71" customWidth="1"/>
    <col min="9740" max="9740" width="16.85546875" style="71" customWidth="1"/>
    <col min="9741" max="9743" width="16.7109375" style="71" customWidth="1"/>
    <col min="9744" max="9984" width="9.140625" style="71"/>
    <col min="9985" max="9985" width="44.85546875" style="71" customWidth="1"/>
    <col min="9986" max="9986" width="13.5703125" style="71" customWidth="1"/>
    <col min="9987" max="9987" width="18.5703125" style="71" customWidth="1"/>
    <col min="9988" max="9988" width="16.140625" style="71" customWidth="1"/>
    <col min="9989" max="9989" width="15.42578125" style="71" customWidth="1"/>
    <col min="9990" max="9990" width="16.5703125" style="71" customWidth="1"/>
    <col min="9991" max="9991" width="15.28515625" style="71" customWidth="1"/>
    <col min="9992" max="9992" width="16.5703125" style="71" customWidth="1"/>
    <col min="9993" max="9993" width="16.140625" style="71" customWidth="1"/>
    <col min="9994" max="9994" width="16.42578125" style="71" customWidth="1"/>
    <col min="9995" max="9995" width="16.5703125" style="71" customWidth="1"/>
    <col min="9996" max="9996" width="16.85546875" style="71" customWidth="1"/>
    <col min="9997" max="9999" width="16.7109375" style="71" customWidth="1"/>
    <col min="10000" max="10240" width="9.140625" style="71"/>
    <col min="10241" max="10241" width="44.85546875" style="71" customWidth="1"/>
    <col min="10242" max="10242" width="13.5703125" style="71" customWidth="1"/>
    <col min="10243" max="10243" width="18.5703125" style="71" customWidth="1"/>
    <col min="10244" max="10244" width="16.140625" style="71" customWidth="1"/>
    <col min="10245" max="10245" width="15.42578125" style="71" customWidth="1"/>
    <col min="10246" max="10246" width="16.5703125" style="71" customWidth="1"/>
    <col min="10247" max="10247" width="15.28515625" style="71" customWidth="1"/>
    <col min="10248" max="10248" width="16.5703125" style="71" customWidth="1"/>
    <col min="10249" max="10249" width="16.140625" style="71" customWidth="1"/>
    <col min="10250" max="10250" width="16.42578125" style="71" customWidth="1"/>
    <col min="10251" max="10251" width="16.5703125" style="71" customWidth="1"/>
    <col min="10252" max="10252" width="16.85546875" style="71" customWidth="1"/>
    <col min="10253" max="10255" width="16.7109375" style="71" customWidth="1"/>
    <col min="10256" max="10496" width="9.140625" style="71"/>
    <col min="10497" max="10497" width="44.85546875" style="71" customWidth="1"/>
    <col min="10498" max="10498" width="13.5703125" style="71" customWidth="1"/>
    <col min="10499" max="10499" width="18.5703125" style="71" customWidth="1"/>
    <col min="10500" max="10500" width="16.140625" style="71" customWidth="1"/>
    <col min="10501" max="10501" width="15.42578125" style="71" customWidth="1"/>
    <col min="10502" max="10502" width="16.5703125" style="71" customWidth="1"/>
    <col min="10503" max="10503" width="15.28515625" style="71" customWidth="1"/>
    <col min="10504" max="10504" width="16.5703125" style="71" customWidth="1"/>
    <col min="10505" max="10505" width="16.140625" style="71" customWidth="1"/>
    <col min="10506" max="10506" width="16.42578125" style="71" customWidth="1"/>
    <col min="10507" max="10507" width="16.5703125" style="71" customWidth="1"/>
    <col min="10508" max="10508" width="16.85546875" style="71" customWidth="1"/>
    <col min="10509" max="10511" width="16.7109375" style="71" customWidth="1"/>
    <col min="10512" max="10752" width="9.140625" style="71"/>
    <col min="10753" max="10753" width="44.85546875" style="71" customWidth="1"/>
    <col min="10754" max="10754" width="13.5703125" style="71" customWidth="1"/>
    <col min="10755" max="10755" width="18.5703125" style="71" customWidth="1"/>
    <col min="10756" max="10756" width="16.140625" style="71" customWidth="1"/>
    <col min="10757" max="10757" width="15.42578125" style="71" customWidth="1"/>
    <col min="10758" max="10758" width="16.5703125" style="71" customWidth="1"/>
    <col min="10759" max="10759" width="15.28515625" style="71" customWidth="1"/>
    <col min="10760" max="10760" width="16.5703125" style="71" customWidth="1"/>
    <col min="10761" max="10761" width="16.140625" style="71" customWidth="1"/>
    <col min="10762" max="10762" width="16.42578125" style="71" customWidth="1"/>
    <col min="10763" max="10763" width="16.5703125" style="71" customWidth="1"/>
    <col min="10764" max="10764" width="16.85546875" style="71" customWidth="1"/>
    <col min="10765" max="10767" width="16.7109375" style="71" customWidth="1"/>
    <col min="10768" max="11008" width="9.140625" style="71"/>
    <col min="11009" max="11009" width="44.85546875" style="71" customWidth="1"/>
    <col min="11010" max="11010" width="13.5703125" style="71" customWidth="1"/>
    <col min="11011" max="11011" width="18.5703125" style="71" customWidth="1"/>
    <col min="11012" max="11012" width="16.140625" style="71" customWidth="1"/>
    <col min="11013" max="11013" width="15.42578125" style="71" customWidth="1"/>
    <col min="11014" max="11014" width="16.5703125" style="71" customWidth="1"/>
    <col min="11015" max="11015" width="15.28515625" style="71" customWidth="1"/>
    <col min="11016" max="11016" width="16.5703125" style="71" customWidth="1"/>
    <col min="11017" max="11017" width="16.140625" style="71" customWidth="1"/>
    <col min="11018" max="11018" width="16.42578125" style="71" customWidth="1"/>
    <col min="11019" max="11019" width="16.5703125" style="71" customWidth="1"/>
    <col min="11020" max="11020" width="16.85546875" style="71" customWidth="1"/>
    <col min="11021" max="11023" width="16.7109375" style="71" customWidth="1"/>
    <col min="11024" max="11264" width="9.140625" style="71"/>
    <col min="11265" max="11265" width="44.85546875" style="71" customWidth="1"/>
    <col min="11266" max="11266" width="13.5703125" style="71" customWidth="1"/>
    <col min="11267" max="11267" width="18.5703125" style="71" customWidth="1"/>
    <col min="11268" max="11268" width="16.140625" style="71" customWidth="1"/>
    <col min="11269" max="11269" width="15.42578125" style="71" customWidth="1"/>
    <col min="11270" max="11270" width="16.5703125" style="71" customWidth="1"/>
    <col min="11271" max="11271" width="15.28515625" style="71" customWidth="1"/>
    <col min="11272" max="11272" width="16.5703125" style="71" customWidth="1"/>
    <col min="11273" max="11273" width="16.140625" style="71" customWidth="1"/>
    <col min="11274" max="11274" width="16.42578125" style="71" customWidth="1"/>
    <col min="11275" max="11275" width="16.5703125" style="71" customWidth="1"/>
    <col min="11276" max="11276" width="16.85546875" style="71" customWidth="1"/>
    <col min="11277" max="11279" width="16.7109375" style="71" customWidth="1"/>
    <col min="11280" max="11520" width="9.140625" style="71"/>
    <col min="11521" max="11521" width="44.85546875" style="71" customWidth="1"/>
    <col min="11522" max="11522" width="13.5703125" style="71" customWidth="1"/>
    <col min="11523" max="11523" width="18.5703125" style="71" customWidth="1"/>
    <col min="11524" max="11524" width="16.140625" style="71" customWidth="1"/>
    <col min="11525" max="11525" width="15.42578125" style="71" customWidth="1"/>
    <col min="11526" max="11526" width="16.5703125" style="71" customWidth="1"/>
    <col min="11527" max="11527" width="15.28515625" style="71" customWidth="1"/>
    <col min="11528" max="11528" width="16.5703125" style="71" customWidth="1"/>
    <col min="11529" max="11529" width="16.140625" style="71" customWidth="1"/>
    <col min="11530" max="11530" width="16.42578125" style="71" customWidth="1"/>
    <col min="11531" max="11531" width="16.5703125" style="71" customWidth="1"/>
    <col min="11532" max="11532" width="16.85546875" style="71" customWidth="1"/>
    <col min="11533" max="11535" width="16.7109375" style="71" customWidth="1"/>
    <col min="11536" max="11776" width="9.140625" style="71"/>
    <col min="11777" max="11777" width="44.85546875" style="71" customWidth="1"/>
    <col min="11778" max="11778" width="13.5703125" style="71" customWidth="1"/>
    <col min="11779" max="11779" width="18.5703125" style="71" customWidth="1"/>
    <col min="11780" max="11780" width="16.140625" style="71" customWidth="1"/>
    <col min="11781" max="11781" width="15.42578125" style="71" customWidth="1"/>
    <col min="11782" max="11782" width="16.5703125" style="71" customWidth="1"/>
    <col min="11783" max="11783" width="15.28515625" style="71" customWidth="1"/>
    <col min="11784" max="11784" width="16.5703125" style="71" customWidth="1"/>
    <col min="11785" max="11785" width="16.140625" style="71" customWidth="1"/>
    <col min="11786" max="11786" width="16.42578125" style="71" customWidth="1"/>
    <col min="11787" max="11787" width="16.5703125" style="71" customWidth="1"/>
    <col min="11788" max="11788" width="16.85546875" style="71" customWidth="1"/>
    <col min="11789" max="11791" width="16.7109375" style="71" customWidth="1"/>
    <col min="11792" max="12032" width="9.140625" style="71"/>
    <col min="12033" max="12033" width="44.85546875" style="71" customWidth="1"/>
    <col min="12034" max="12034" width="13.5703125" style="71" customWidth="1"/>
    <col min="12035" max="12035" width="18.5703125" style="71" customWidth="1"/>
    <col min="12036" max="12036" width="16.140625" style="71" customWidth="1"/>
    <col min="12037" max="12037" width="15.42578125" style="71" customWidth="1"/>
    <col min="12038" max="12038" width="16.5703125" style="71" customWidth="1"/>
    <col min="12039" max="12039" width="15.28515625" style="71" customWidth="1"/>
    <col min="12040" max="12040" width="16.5703125" style="71" customWidth="1"/>
    <col min="12041" max="12041" width="16.140625" style="71" customWidth="1"/>
    <col min="12042" max="12042" width="16.42578125" style="71" customWidth="1"/>
    <col min="12043" max="12043" width="16.5703125" style="71" customWidth="1"/>
    <col min="12044" max="12044" width="16.85546875" style="71" customWidth="1"/>
    <col min="12045" max="12047" width="16.7109375" style="71" customWidth="1"/>
    <col min="12048" max="12288" width="9.140625" style="71"/>
    <col min="12289" max="12289" width="44.85546875" style="71" customWidth="1"/>
    <col min="12290" max="12290" width="13.5703125" style="71" customWidth="1"/>
    <col min="12291" max="12291" width="18.5703125" style="71" customWidth="1"/>
    <col min="12292" max="12292" width="16.140625" style="71" customWidth="1"/>
    <col min="12293" max="12293" width="15.42578125" style="71" customWidth="1"/>
    <col min="12294" max="12294" width="16.5703125" style="71" customWidth="1"/>
    <col min="12295" max="12295" width="15.28515625" style="71" customWidth="1"/>
    <col min="12296" max="12296" width="16.5703125" style="71" customWidth="1"/>
    <col min="12297" max="12297" width="16.140625" style="71" customWidth="1"/>
    <col min="12298" max="12298" width="16.42578125" style="71" customWidth="1"/>
    <col min="12299" max="12299" width="16.5703125" style="71" customWidth="1"/>
    <col min="12300" max="12300" width="16.85546875" style="71" customWidth="1"/>
    <col min="12301" max="12303" width="16.7109375" style="71" customWidth="1"/>
    <col min="12304" max="12544" width="9.140625" style="71"/>
    <col min="12545" max="12545" width="44.85546875" style="71" customWidth="1"/>
    <col min="12546" max="12546" width="13.5703125" style="71" customWidth="1"/>
    <col min="12547" max="12547" width="18.5703125" style="71" customWidth="1"/>
    <col min="12548" max="12548" width="16.140625" style="71" customWidth="1"/>
    <col min="12549" max="12549" width="15.42578125" style="71" customWidth="1"/>
    <col min="12550" max="12550" width="16.5703125" style="71" customWidth="1"/>
    <col min="12551" max="12551" width="15.28515625" style="71" customWidth="1"/>
    <col min="12552" max="12552" width="16.5703125" style="71" customWidth="1"/>
    <col min="12553" max="12553" width="16.140625" style="71" customWidth="1"/>
    <col min="12554" max="12554" width="16.42578125" style="71" customWidth="1"/>
    <col min="12555" max="12555" width="16.5703125" style="71" customWidth="1"/>
    <col min="12556" max="12556" width="16.85546875" style="71" customWidth="1"/>
    <col min="12557" max="12559" width="16.7109375" style="71" customWidth="1"/>
    <col min="12560" max="12800" width="9.140625" style="71"/>
    <col min="12801" max="12801" width="44.85546875" style="71" customWidth="1"/>
    <col min="12802" max="12802" width="13.5703125" style="71" customWidth="1"/>
    <col min="12803" max="12803" width="18.5703125" style="71" customWidth="1"/>
    <col min="12804" max="12804" width="16.140625" style="71" customWidth="1"/>
    <col min="12805" max="12805" width="15.42578125" style="71" customWidth="1"/>
    <col min="12806" max="12806" width="16.5703125" style="71" customWidth="1"/>
    <col min="12807" max="12807" width="15.28515625" style="71" customWidth="1"/>
    <col min="12808" max="12808" width="16.5703125" style="71" customWidth="1"/>
    <col min="12809" max="12809" width="16.140625" style="71" customWidth="1"/>
    <col min="12810" max="12810" width="16.42578125" style="71" customWidth="1"/>
    <col min="12811" max="12811" width="16.5703125" style="71" customWidth="1"/>
    <col min="12812" max="12812" width="16.85546875" style="71" customWidth="1"/>
    <col min="12813" max="12815" width="16.7109375" style="71" customWidth="1"/>
    <col min="12816" max="13056" width="9.140625" style="71"/>
    <col min="13057" max="13057" width="44.85546875" style="71" customWidth="1"/>
    <col min="13058" max="13058" width="13.5703125" style="71" customWidth="1"/>
    <col min="13059" max="13059" width="18.5703125" style="71" customWidth="1"/>
    <col min="13060" max="13060" width="16.140625" style="71" customWidth="1"/>
    <col min="13061" max="13061" width="15.42578125" style="71" customWidth="1"/>
    <col min="13062" max="13062" width="16.5703125" style="71" customWidth="1"/>
    <col min="13063" max="13063" width="15.28515625" style="71" customWidth="1"/>
    <col min="13064" max="13064" width="16.5703125" style="71" customWidth="1"/>
    <col min="13065" max="13065" width="16.140625" style="71" customWidth="1"/>
    <col min="13066" max="13066" width="16.42578125" style="71" customWidth="1"/>
    <col min="13067" max="13067" width="16.5703125" style="71" customWidth="1"/>
    <col min="13068" max="13068" width="16.85546875" style="71" customWidth="1"/>
    <col min="13069" max="13071" width="16.7109375" style="71" customWidth="1"/>
    <col min="13072" max="13312" width="9.140625" style="71"/>
    <col min="13313" max="13313" width="44.85546875" style="71" customWidth="1"/>
    <col min="13314" max="13314" width="13.5703125" style="71" customWidth="1"/>
    <col min="13315" max="13315" width="18.5703125" style="71" customWidth="1"/>
    <col min="13316" max="13316" width="16.140625" style="71" customWidth="1"/>
    <col min="13317" max="13317" width="15.42578125" style="71" customWidth="1"/>
    <col min="13318" max="13318" width="16.5703125" style="71" customWidth="1"/>
    <col min="13319" max="13319" width="15.28515625" style="71" customWidth="1"/>
    <col min="13320" max="13320" width="16.5703125" style="71" customWidth="1"/>
    <col min="13321" max="13321" width="16.140625" style="71" customWidth="1"/>
    <col min="13322" max="13322" width="16.42578125" style="71" customWidth="1"/>
    <col min="13323" max="13323" width="16.5703125" style="71" customWidth="1"/>
    <col min="13324" max="13324" width="16.85546875" style="71" customWidth="1"/>
    <col min="13325" max="13327" width="16.7109375" style="71" customWidth="1"/>
    <col min="13328" max="13568" width="9.140625" style="71"/>
    <col min="13569" max="13569" width="44.85546875" style="71" customWidth="1"/>
    <col min="13570" max="13570" width="13.5703125" style="71" customWidth="1"/>
    <col min="13571" max="13571" width="18.5703125" style="71" customWidth="1"/>
    <col min="13572" max="13572" width="16.140625" style="71" customWidth="1"/>
    <col min="13573" max="13573" width="15.42578125" style="71" customWidth="1"/>
    <col min="13574" max="13574" width="16.5703125" style="71" customWidth="1"/>
    <col min="13575" max="13575" width="15.28515625" style="71" customWidth="1"/>
    <col min="13576" max="13576" width="16.5703125" style="71" customWidth="1"/>
    <col min="13577" max="13577" width="16.140625" style="71" customWidth="1"/>
    <col min="13578" max="13578" width="16.42578125" style="71" customWidth="1"/>
    <col min="13579" max="13579" width="16.5703125" style="71" customWidth="1"/>
    <col min="13580" max="13580" width="16.85546875" style="71" customWidth="1"/>
    <col min="13581" max="13583" width="16.7109375" style="71" customWidth="1"/>
    <col min="13584" max="13824" width="9.140625" style="71"/>
    <col min="13825" max="13825" width="44.85546875" style="71" customWidth="1"/>
    <col min="13826" max="13826" width="13.5703125" style="71" customWidth="1"/>
    <col min="13827" max="13827" width="18.5703125" style="71" customWidth="1"/>
    <col min="13828" max="13828" width="16.140625" style="71" customWidth="1"/>
    <col min="13829" max="13829" width="15.42578125" style="71" customWidth="1"/>
    <col min="13830" max="13830" width="16.5703125" style="71" customWidth="1"/>
    <col min="13831" max="13831" width="15.28515625" style="71" customWidth="1"/>
    <col min="13832" max="13832" width="16.5703125" style="71" customWidth="1"/>
    <col min="13833" max="13833" width="16.140625" style="71" customWidth="1"/>
    <col min="13834" max="13834" width="16.42578125" style="71" customWidth="1"/>
    <col min="13835" max="13835" width="16.5703125" style="71" customWidth="1"/>
    <col min="13836" max="13836" width="16.85546875" style="71" customWidth="1"/>
    <col min="13837" max="13839" width="16.7109375" style="71" customWidth="1"/>
    <col min="13840" max="14080" width="9.140625" style="71"/>
    <col min="14081" max="14081" width="44.85546875" style="71" customWidth="1"/>
    <col min="14082" max="14082" width="13.5703125" style="71" customWidth="1"/>
    <col min="14083" max="14083" width="18.5703125" style="71" customWidth="1"/>
    <col min="14084" max="14084" width="16.140625" style="71" customWidth="1"/>
    <col min="14085" max="14085" width="15.42578125" style="71" customWidth="1"/>
    <col min="14086" max="14086" width="16.5703125" style="71" customWidth="1"/>
    <col min="14087" max="14087" width="15.28515625" style="71" customWidth="1"/>
    <col min="14088" max="14088" width="16.5703125" style="71" customWidth="1"/>
    <col min="14089" max="14089" width="16.140625" style="71" customWidth="1"/>
    <col min="14090" max="14090" width="16.42578125" style="71" customWidth="1"/>
    <col min="14091" max="14091" width="16.5703125" style="71" customWidth="1"/>
    <col min="14092" max="14092" width="16.85546875" style="71" customWidth="1"/>
    <col min="14093" max="14095" width="16.7109375" style="71" customWidth="1"/>
    <col min="14096" max="14336" width="9.140625" style="71"/>
    <col min="14337" max="14337" width="44.85546875" style="71" customWidth="1"/>
    <col min="14338" max="14338" width="13.5703125" style="71" customWidth="1"/>
    <col min="14339" max="14339" width="18.5703125" style="71" customWidth="1"/>
    <col min="14340" max="14340" width="16.140625" style="71" customWidth="1"/>
    <col min="14341" max="14341" width="15.42578125" style="71" customWidth="1"/>
    <col min="14342" max="14342" width="16.5703125" style="71" customWidth="1"/>
    <col min="14343" max="14343" width="15.28515625" style="71" customWidth="1"/>
    <col min="14344" max="14344" width="16.5703125" style="71" customWidth="1"/>
    <col min="14345" max="14345" width="16.140625" style="71" customWidth="1"/>
    <col min="14346" max="14346" width="16.42578125" style="71" customWidth="1"/>
    <col min="14347" max="14347" width="16.5703125" style="71" customWidth="1"/>
    <col min="14348" max="14348" width="16.85546875" style="71" customWidth="1"/>
    <col min="14349" max="14351" width="16.7109375" style="71" customWidth="1"/>
    <col min="14352" max="14592" width="9.140625" style="71"/>
    <col min="14593" max="14593" width="44.85546875" style="71" customWidth="1"/>
    <col min="14594" max="14594" width="13.5703125" style="71" customWidth="1"/>
    <col min="14595" max="14595" width="18.5703125" style="71" customWidth="1"/>
    <col min="14596" max="14596" width="16.140625" style="71" customWidth="1"/>
    <col min="14597" max="14597" width="15.42578125" style="71" customWidth="1"/>
    <col min="14598" max="14598" width="16.5703125" style="71" customWidth="1"/>
    <col min="14599" max="14599" width="15.28515625" style="71" customWidth="1"/>
    <col min="14600" max="14600" width="16.5703125" style="71" customWidth="1"/>
    <col min="14601" max="14601" width="16.140625" style="71" customWidth="1"/>
    <col min="14602" max="14602" width="16.42578125" style="71" customWidth="1"/>
    <col min="14603" max="14603" width="16.5703125" style="71" customWidth="1"/>
    <col min="14604" max="14604" width="16.85546875" style="71" customWidth="1"/>
    <col min="14605" max="14607" width="16.7109375" style="71" customWidth="1"/>
    <col min="14608" max="14848" width="9.140625" style="71"/>
    <col min="14849" max="14849" width="44.85546875" style="71" customWidth="1"/>
    <col min="14850" max="14850" width="13.5703125" style="71" customWidth="1"/>
    <col min="14851" max="14851" width="18.5703125" style="71" customWidth="1"/>
    <col min="14852" max="14852" width="16.140625" style="71" customWidth="1"/>
    <col min="14853" max="14853" width="15.42578125" style="71" customWidth="1"/>
    <col min="14854" max="14854" width="16.5703125" style="71" customWidth="1"/>
    <col min="14855" max="14855" width="15.28515625" style="71" customWidth="1"/>
    <col min="14856" max="14856" width="16.5703125" style="71" customWidth="1"/>
    <col min="14857" max="14857" width="16.140625" style="71" customWidth="1"/>
    <col min="14858" max="14858" width="16.42578125" style="71" customWidth="1"/>
    <col min="14859" max="14859" width="16.5703125" style="71" customWidth="1"/>
    <col min="14860" max="14860" width="16.85546875" style="71" customWidth="1"/>
    <col min="14861" max="14863" width="16.7109375" style="71" customWidth="1"/>
    <col min="14864" max="15104" width="9.140625" style="71"/>
    <col min="15105" max="15105" width="44.85546875" style="71" customWidth="1"/>
    <col min="15106" max="15106" width="13.5703125" style="71" customWidth="1"/>
    <col min="15107" max="15107" width="18.5703125" style="71" customWidth="1"/>
    <col min="15108" max="15108" width="16.140625" style="71" customWidth="1"/>
    <col min="15109" max="15109" width="15.42578125" style="71" customWidth="1"/>
    <col min="15110" max="15110" width="16.5703125" style="71" customWidth="1"/>
    <col min="15111" max="15111" width="15.28515625" style="71" customWidth="1"/>
    <col min="15112" max="15112" width="16.5703125" style="71" customWidth="1"/>
    <col min="15113" max="15113" width="16.140625" style="71" customWidth="1"/>
    <col min="15114" max="15114" width="16.42578125" style="71" customWidth="1"/>
    <col min="15115" max="15115" width="16.5703125" style="71" customWidth="1"/>
    <col min="15116" max="15116" width="16.85546875" style="71" customWidth="1"/>
    <col min="15117" max="15119" width="16.7109375" style="71" customWidth="1"/>
    <col min="15120" max="15360" width="9.140625" style="71"/>
    <col min="15361" max="15361" width="44.85546875" style="71" customWidth="1"/>
    <col min="15362" max="15362" width="13.5703125" style="71" customWidth="1"/>
    <col min="15363" max="15363" width="18.5703125" style="71" customWidth="1"/>
    <col min="15364" max="15364" width="16.140625" style="71" customWidth="1"/>
    <col min="15365" max="15365" width="15.42578125" style="71" customWidth="1"/>
    <col min="15366" max="15366" width="16.5703125" style="71" customWidth="1"/>
    <col min="15367" max="15367" width="15.28515625" style="71" customWidth="1"/>
    <col min="15368" max="15368" width="16.5703125" style="71" customWidth="1"/>
    <col min="15369" max="15369" width="16.140625" style="71" customWidth="1"/>
    <col min="15370" max="15370" width="16.42578125" style="71" customWidth="1"/>
    <col min="15371" max="15371" width="16.5703125" style="71" customWidth="1"/>
    <col min="15372" max="15372" width="16.85546875" style="71" customWidth="1"/>
    <col min="15373" max="15375" width="16.7109375" style="71" customWidth="1"/>
    <col min="15376" max="15616" width="9.140625" style="71"/>
    <col min="15617" max="15617" width="44.85546875" style="71" customWidth="1"/>
    <col min="15618" max="15618" width="13.5703125" style="71" customWidth="1"/>
    <col min="15619" max="15619" width="18.5703125" style="71" customWidth="1"/>
    <col min="15620" max="15620" width="16.140625" style="71" customWidth="1"/>
    <col min="15621" max="15621" width="15.42578125" style="71" customWidth="1"/>
    <col min="15622" max="15622" width="16.5703125" style="71" customWidth="1"/>
    <col min="15623" max="15623" width="15.28515625" style="71" customWidth="1"/>
    <col min="15624" max="15624" width="16.5703125" style="71" customWidth="1"/>
    <col min="15625" max="15625" width="16.140625" style="71" customWidth="1"/>
    <col min="15626" max="15626" width="16.42578125" style="71" customWidth="1"/>
    <col min="15627" max="15627" width="16.5703125" style="71" customWidth="1"/>
    <col min="15628" max="15628" width="16.85546875" style="71" customWidth="1"/>
    <col min="15629" max="15631" width="16.7109375" style="71" customWidth="1"/>
    <col min="15632" max="15872" width="9.140625" style="71"/>
    <col min="15873" max="15873" width="44.85546875" style="71" customWidth="1"/>
    <col min="15874" max="15874" width="13.5703125" style="71" customWidth="1"/>
    <col min="15875" max="15875" width="18.5703125" style="71" customWidth="1"/>
    <col min="15876" max="15876" width="16.140625" style="71" customWidth="1"/>
    <col min="15877" max="15877" width="15.42578125" style="71" customWidth="1"/>
    <col min="15878" max="15878" width="16.5703125" style="71" customWidth="1"/>
    <col min="15879" max="15879" width="15.28515625" style="71" customWidth="1"/>
    <col min="15880" max="15880" width="16.5703125" style="71" customWidth="1"/>
    <col min="15881" max="15881" width="16.140625" style="71" customWidth="1"/>
    <col min="15882" max="15882" width="16.42578125" style="71" customWidth="1"/>
    <col min="15883" max="15883" width="16.5703125" style="71" customWidth="1"/>
    <col min="15884" max="15884" width="16.85546875" style="71" customWidth="1"/>
    <col min="15885" max="15887" width="16.7109375" style="71" customWidth="1"/>
    <col min="15888" max="16128" width="9.140625" style="71"/>
    <col min="16129" max="16129" width="44.85546875" style="71" customWidth="1"/>
    <col min="16130" max="16130" width="13.5703125" style="71" customWidth="1"/>
    <col min="16131" max="16131" width="18.5703125" style="71" customWidth="1"/>
    <col min="16132" max="16132" width="16.140625" style="71" customWidth="1"/>
    <col min="16133" max="16133" width="15.42578125" style="71" customWidth="1"/>
    <col min="16134" max="16134" width="16.5703125" style="71" customWidth="1"/>
    <col min="16135" max="16135" width="15.28515625" style="71" customWidth="1"/>
    <col min="16136" max="16136" width="16.5703125" style="71" customWidth="1"/>
    <col min="16137" max="16137" width="16.140625" style="71" customWidth="1"/>
    <col min="16138" max="16138" width="16.42578125" style="71" customWidth="1"/>
    <col min="16139" max="16139" width="16.5703125" style="71" customWidth="1"/>
    <col min="16140" max="16140" width="16.85546875" style="71" customWidth="1"/>
    <col min="16141" max="16143" width="16.7109375" style="71" customWidth="1"/>
    <col min="16144" max="16384" width="9.140625" style="71"/>
  </cols>
  <sheetData>
    <row r="1" spans="1:16" ht="18.75" hidden="1" customHeight="1" outlineLevel="1" x14ac:dyDescent="0.25">
      <c r="N1" s="341" t="s">
        <v>0</v>
      </c>
      <c r="O1" s="341"/>
    </row>
    <row r="2" spans="1:16" hidden="1" outlineLevel="1" x14ac:dyDescent="0.25">
      <c r="N2" s="341" t="s">
        <v>322</v>
      </c>
      <c r="O2" s="341"/>
    </row>
    <row r="3" spans="1:16" collapsed="1" x14ac:dyDescent="0.25">
      <c r="A3" s="342" t="s">
        <v>323</v>
      </c>
      <c r="B3" s="342"/>
      <c r="C3" s="342"/>
      <c r="D3" s="342"/>
      <c r="E3" s="342"/>
      <c r="F3" s="342"/>
      <c r="G3" s="342"/>
      <c r="H3" s="342"/>
      <c r="I3" s="342"/>
      <c r="J3" s="342"/>
      <c r="K3" s="342"/>
      <c r="L3" s="342"/>
      <c r="M3" s="342"/>
      <c r="N3" s="342"/>
      <c r="O3" s="342"/>
      <c r="P3" s="314">
        <v>37</v>
      </c>
    </row>
    <row r="4" spans="1:16" x14ac:dyDescent="0.25">
      <c r="A4" s="342" t="s">
        <v>462</v>
      </c>
      <c r="B4" s="342"/>
      <c r="C4" s="342"/>
      <c r="D4" s="342"/>
      <c r="E4" s="342"/>
      <c r="F4" s="342"/>
      <c r="G4" s="342"/>
      <c r="H4" s="342"/>
      <c r="I4" s="342"/>
      <c r="J4" s="342"/>
      <c r="K4" s="342"/>
      <c r="L4" s="342"/>
      <c r="M4" s="342"/>
      <c r="N4" s="342"/>
      <c r="O4" s="342"/>
      <c r="P4" s="314"/>
    </row>
    <row r="5" spans="1:16" x14ac:dyDescent="0.25">
      <c r="A5" s="343" t="s">
        <v>324</v>
      </c>
      <c r="B5" s="343"/>
      <c r="C5" s="343"/>
      <c r="D5" s="343"/>
      <c r="E5" s="343"/>
      <c r="F5" s="343"/>
      <c r="G5" s="343"/>
      <c r="H5" s="343"/>
      <c r="I5" s="343"/>
      <c r="J5" s="343"/>
      <c r="K5" s="343"/>
      <c r="L5" s="343"/>
      <c r="M5" s="343"/>
      <c r="N5" s="343"/>
      <c r="O5" s="343"/>
      <c r="P5" s="314"/>
    </row>
    <row r="6" spans="1:16" x14ac:dyDescent="0.25">
      <c r="A6" s="344" t="s">
        <v>325</v>
      </c>
      <c r="B6" s="344"/>
      <c r="C6" s="344"/>
      <c r="D6" s="344"/>
      <c r="E6" s="344"/>
      <c r="F6" s="344"/>
      <c r="G6" s="344"/>
      <c r="H6" s="344"/>
      <c r="I6" s="344"/>
      <c r="J6" s="344"/>
      <c r="K6" s="344"/>
      <c r="L6" s="344"/>
      <c r="M6" s="344"/>
      <c r="N6" s="344"/>
      <c r="O6" s="344"/>
      <c r="P6" s="314"/>
    </row>
    <row r="7" spans="1:16" ht="24.95" customHeight="1" x14ac:dyDescent="0.25">
      <c r="A7" s="307" t="s">
        <v>326</v>
      </c>
      <c r="B7" s="307"/>
      <c r="C7" s="307"/>
      <c r="D7" s="307"/>
      <c r="E7" s="307"/>
      <c r="F7" s="307"/>
      <c r="G7" s="307"/>
      <c r="H7" s="307"/>
      <c r="I7" s="307"/>
      <c r="J7" s="307"/>
      <c r="K7" s="307"/>
      <c r="L7" s="307"/>
      <c r="M7" s="307"/>
      <c r="N7" s="307"/>
      <c r="O7" s="307"/>
      <c r="P7" s="314"/>
    </row>
    <row r="8" spans="1:16" ht="9" customHeight="1" x14ac:dyDescent="0.25">
      <c r="A8" s="202"/>
      <c r="B8" s="202"/>
      <c r="C8" s="202"/>
      <c r="D8" s="202"/>
      <c r="E8" s="202"/>
      <c r="F8" s="202"/>
      <c r="G8" s="202"/>
      <c r="H8" s="202"/>
      <c r="I8" s="202"/>
      <c r="J8" s="202"/>
      <c r="K8" s="202"/>
      <c r="L8" s="202"/>
      <c r="M8" s="202"/>
      <c r="N8" s="202"/>
      <c r="O8" s="202"/>
      <c r="P8" s="314"/>
    </row>
    <row r="9" spans="1:16" ht="26.25" customHeight="1" x14ac:dyDescent="0.25">
      <c r="A9" s="345" t="s">
        <v>327</v>
      </c>
      <c r="B9" s="345"/>
      <c r="C9" s="345"/>
      <c r="D9" s="345"/>
      <c r="E9" s="345"/>
      <c r="F9" s="345"/>
      <c r="G9" s="345"/>
      <c r="H9" s="345"/>
      <c r="I9" s="345"/>
      <c r="J9" s="345"/>
      <c r="K9" s="345"/>
      <c r="L9" s="345"/>
      <c r="M9" s="345"/>
      <c r="N9" s="345"/>
      <c r="O9" s="345"/>
      <c r="P9" s="314"/>
    </row>
    <row r="10" spans="1:16" ht="12.75" hidden="1" customHeight="1" x14ac:dyDescent="0.25">
      <c r="B10" s="210"/>
      <c r="P10" s="314"/>
    </row>
    <row r="11" spans="1:16" s="77" customFormat="1" ht="40.5" customHeight="1" x14ac:dyDescent="0.25">
      <c r="A11" s="201" t="s">
        <v>97</v>
      </c>
      <c r="B11" s="304" t="s">
        <v>328</v>
      </c>
      <c r="C11" s="304"/>
      <c r="D11" s="304" t="s">
        <v>329</v>
      </c>
      <c r="E11" s="304"/>
      <c r="F11" s="304" t="s">
        <v>463</v>
      </c>
      <c r="G11" s="304"/>
      <c r="H11" s="304" t="s">
        <v>330</v>
      </c>
      <c r="I11" s="304"/>
      <c r="J11" s="304" t="s">
        <v>464</v>
      </c>
      <c r="K11" s="304"/>
      <c r="L11" s="304" t="s">
        <v>331</v>
      </c>
      <c r="M11" s="304"/>
      <c r="N11" s="304" t="s">
        <v>332</v>
      </c>
      <c r="O11" s="304"/>
      <c r="P11" s="314"/>
    </row>
    <row r="12" spans="1:16" s="77" customFormat="1" ht="17.25" customHeight="1" x14ac:dyDescent="0.25">
      <c r="A12" s="201">
        <v>1</v>
      </c>
      <c r="B12" s="305">
        <v>2</v>
      </c>
      <c r="C12" s="306"/>
      <c r="D12" s="305">
        <v>3</v>
      </c>
      <c r="E12" s="306"/>
      <c r="F12" s="305">
        <v>4</v>
      </c>
      <c r="G12" s="306"/>
      <c r="H12" s="305">
        <v>5</v>
      </c>
      <c r="I12" s="306"/>
      <c r="J12" s="305">
        <v>6</v>
      </c>
      <c r="K12" s="306"/>
      <c r="L12" s="305">
        <v>7</v>
      </c>
      <c r="M12" s="306"/>
      <c r="N12" s="304">
        <v>8</v>
      </c>
      <c r="O12" s="304"/>
      <c r="P12" s="314"/>
    </row>
    <row r="13" spans="1:16" s="77" customFormat="1" ht="31.5" customHeight="1" x14ac:dyDescent="0.25">
      <c r="A13" s="58" t="s">
        <v>333</v>
      </c>
      <c r="B13" s="338">
        <f>B14+B15+B16+B17+B18+B19</f>
        <v>97</v>
      </c>
      <c r="C13" s="338"/>
      <c r="D13" s="338">
        <f>D14+D15+D16+D17+D18+D19</f>
        <v>83</v>
      </c>
      <c r="E13" s="338"/>
      <c r="F13" s="338">
        <f>F14+F15+F16+F17+F18+F19</f>
        <v>90</v>
      </c>
      <c r="G13" s="338"/>
      <c r="H13" s="338">
        <f>H14+H15+H16+H17+H18+H19</f>
        <v>90</v>
      </c>
      <c r="I13" s="338"/>
      <c r="J13" s="339">
        <f>SUM(J14:K19)</f>
        <v>82</v>
      </c>
      <c r="K13" s="340"/>
      <c r="L13" s="313">
        <f>J13-H13</f>
        <v>-8</v>
      </c>
      <c r="M13" s="313"/>
      <c r="N13" s="313">
        <f>J13*100/H13</f>
        <v>91.111111111111114</v>
      </c>
      <c r="O13" s="313"/>
      <c r="P13" s="314"/>
    </row>
    <row r="14" spans="1:16" s="77" customFormat="1" x14ac:dyDescent="0.25">
      <c r="A14" s="199" t="s">
        <v>334</v>
      </c>
      <c r="B14" s="313">
        <v>7</v>
      </c>
      <c r="C14" s="313"/>
      <c r="D14" s="313">
        <v>9</v>
      </c>
      <c r="E14" s="313"/>
      <c r="F14" s="313">
        <v>8</v>
      </c>
      <c r="G14" s="313"/>
      <c r="H14" s="313">
        <v>8</v>
      </c>
      <c r="I14" s="313"/>
      <c r="J14" s="336">
        <v>8</v>
      </c>
      <c r="K14" s="337"/>
      <c r="L14" s="313">
        <f t="shared" ref="L14:L35" si="0">J14-H14</f>
        <v>0</v>
      </c>
      <c r="M14" s="313"/>
      <c r="N14" s="313">
        <f t="shared" ref="N14:N35" si="1">J14*100/H14</f>
        <v>100</v>
      </c>
      <c r="O14" s="313"/>
      <c r="P14" s="314"/>
    </row>
    <row r="15" spans="1:16" s="77" customFormat="1" x14ac:dyDescent="0.25">
      <c r="A15" s="199" t="s">
        <v>335</v>
      </c>
      <c r="B15" s="313">
        <v>4</v>
      </c>
      <c r="C15" s="313"/>
      <c r="D15" s="313">
        <v>8</v>
      </c>
      <c r="E15" s="313"/>
      <c r="F15" s="313">
        <v>12</v>
      </c>
      <c r="G15" s="313"/>
      <c r="H15" s="313">
        <v>12</v>
      </c>
      <c r="I15" s="313"/>
      <c r="J15" s="336">
        <v>12</v>
      </c>
      <c r="K15" s="337"/>
      <c r="L15" s="313">
        <f t="shared" si="0"/>
        <v>0</v>
      </c>
      <c r="M15" s="313"/>
      <c r="N15" s="313">
        <f t="shared" si="1"/>
        <v>100</v>
      </c>
      <c r="O15" s="313"/>
      <c r="P15" s="314"/>
    </row>
    <row r="16" spans="1:16" s="77" customFormat="1" x14ac:dyDescent="0.25">
      <c r="A16" s="199" t="s">
        <v>336</v>
      </c>
      <c r="B16" s="313">
        <v>24</v>
      </c>
      <c r="C16" s="313"/>
      <c r="D16" s="313">
        <v>9</v>
      </c>
      <c r="E16" s="313"/>
      <c r="F16" s="313">
        <v>4</v>
      </c>
      <c r="G16" s="313"/>
      <c r="H16" s="313">
        <v>4</v>
      </c>
      <c r="I16" s="313"/>
      <c r="J16" s="336">
        <v>4</v>
      </c>
      <c r="K16" s="337"/>
      <c r="L16" s="313">
        <f t="shared" si="0"/>
        <v>0</v>
      </c>
      <c r="M16" s="313"/>
      <c r="N16" s="313">
        <f t="shared" si="1"/>
        <v>100</v>
      </c>
      <c r="O16" s="313"/>
      <c r="P16" s="314"/>
    </row>
    <row r="17" spans="1:21" s="77" customFormat="1" x14ac:dyDescent="0.25">
      <c r="A17" s="199" t="s">
        <v>337</v>
      </c>
      <c r="B17" s="313">
        <v>4</v>
      </c>
      <c r="C17" s="313"/>
      <c r="D17" s="313">
        <v>1</v>
      </c>
      <c r="E17" s="313"/>
      <c r="F17" s="313">
        <v>1</v>
      </c>
      <c r="G17" s="313"/>
      <c r="H17" s="313">
        <v>1</v>
      </c>
      <c r="I17" s="313"/>
      <c r="J17" s="336">
        <v>1</v>
      </c>
      <c r="K17" s="337"/>
      <c r="L17" s="313">
        <f t="shared" si="0"/>
        <v>0</v>
      </c>
      <c r="M17" s="313"/>
      <c r="N17" s="313">
        <f t="shared" si="1"/>
        <v>100</v>
      </c>
      <c r="O17" s="313"/>
      <c r="P17" s="314"/>
    </row>
    <row r="18" spans="1:21" s="77" customFormat="1" x14ac:dyDescent="0.25">
      <c r="A18" s="199" t="s">
        <v>338</v>
      </c>
      <c r="B18" s="313">
        <v>32</v>
      </c>
      <c r="C18" s="313"/>
      <c r="D18" s="313">
        <v>23</v>
      </c>
      <c r="E18" s="313"/>
      <c r="F18" s="313">
        <v>30</v>
      </c>
      <c r="G18" s="313"/>
      <c r="H18" s="313">
        <v>30</v>
      </c>
      <c r="I18" s="313"/>
      <c r="J18" s="336">
        <v>25</v>
      </c>
      <c r="K18" s="337"/>
      <c r="L18" s="313">
        <f t="shared" si="0"/>
        <v>-5</v>
      </c>
      <c r="M18" s="313"/>
      <c r="N18" s="313">
        <f t="shared" si="1"/>
        <v>83.333333333333329</v>
      </c>
      <c r="O18" s="313"/>
      <c r="P18" s="314"/>
    </row>
    <row r="19" spans="1:21" s="77" customFormat="1" x14ac:dyDescent="0.25">
      <c r="A19" s="199" t="s">
        <v>339</v>
      </c>
      <c r="B19" s="313">
        <v>26</v>
      </c>
      <c r="C19" s="313"/>
      <c r="D19" s="313">
        <v>33</v>
      </c>
      <c r="E19" s="313"/>
      <c r="F19" s="313">
        <v>35</v>
      </c>
      <c r="G19" s="313"/>
      <c r="H19" s="313">
        <v>35</v>
      </c>
      <c r="I19" s="313"/>
      <c r="J19" s="336">
        <v>32</v>
      </c>
      <c r="K19" s="337"/>
      <c r="L19" s="313">
        <f t="shared" si="0"/>
        <v>-3</v>
      </c>
      <c r="M19" s="313"/>
      <c r="N19" s="313">
        <f t="shared" si="1"/>
        <v>91.428571428571431</v>
      </c>
      <c r="O19" s="313"/>
      <c r="P19" s="314"/>
    </row>
    <row r="20" spans="1:21" s="77" customFormat="1" ht="31.5" x14ac:dyDescent="0.25">
      <c r="A20" s="58" t="s">
        <v>340</v>
      </c>
      <c r="B20" s="338">
        <f>SUM(B21:C23)</f>
        <v>7400</v>
      </c>
      <c r="C20" s="338"/>
      <c r="D20" s="338">
        <f>SUM(D21:E23)</f>
        <v>7433</v>
      </c>
      <c r="E20" s="338"/>
      <c r="F20" s="338">
        <f>F21+F22+F23</f>
        <v>8400</v>
      </c>
      <c r="G20" s="338"/>
      <c r="H20" s="338">
        <f>H21+H22+H23</f>
        <v>8400</v>
      </c>
      <c r="I20" s="338"/>
      <c r="J20" s="339">
        <f>SUM(J21:K23)</f>
        <v>8396</v>
      </c>
      <c r="K20" s="340"/>
      <c r="L20" s="313">
        <f t="shared" si="0"/>
        <v>-4</v>
      </c>
      <c r="M20" s="313"/>
      <c r="N20" s="313">
        <f t="shared" si="1"/>
        <v>99.952380952380949</v>
      </c>
      <c r="O20" s="313"/>
      <c r="P20" s="314"/>
    </row>
    <row r="21" spans="1:21" s="77" customFormat="1" x14ac:dyDescent="0.25">
      <c r="A21" s="199" t="s">
        <v>341</v>
      </c>
      <c r="B21" s="313">
        <v>300</v>
      </c>
      <c r="C21" s="313"/>
      <c r="D21" s="313">
        <v>312</v>
      </c>
      <c r="E21" s="313"/>
      <c r="F21" s="313">
        <v>350</v>
      </c>
      <c r="G21" s="313"/>
      <c r="H21" s="313">
        <f>F21/4*4</f>
        <v>350</v>
      </c>
      <c r="I21" s="313"/>
      <c r="J21" s="336">
        <v>360</v>
      </c>
      <c r="K21" s="337"/>
      <c r="L21" s="313">
        <f t="shared" si="0"/>
        <v>10</v>
      </c>
      <c r="M21" s="313"/>
      <c r="N21" s="313">
        <f t="shared" si="1"/>
        <v>102.85714285714286</v>
      </c>
      <c r="O21" s="313"/>
      <c r="P21" s="314"/>
    </row>
    <row r="22" spans="1:21" s="77" customFormat="1" x14ac:dyDescent="0.25">
      <c r="A22" s="199" t="s">
        <v>342</v>
      </c>
      <c r="B22" s="313">
        <v>2172</v>
      </c>
      <c r="C22" s="313"/>
      <c r="D22" s="313">
        <v>875</v>
      </c>
      <c r="E22" s="313"/>
      <c r="F22" s="336">
        <v>1050</v>
      </c>
      <c r="G22" s="337"/>
      <c r="H22" s="313">
        <f>F22/4*4</f>
        <v>1050</v>
      </c>
      <c r="I22" s="313"/>
      <c r="J22" s="336">
        <v>1982</v>
      </c>
      <c r="K22" s="337"/>
      <c r="L22" s="313">
        <f t="shared" si="0"/>
        <v>932</v>
      </c>
      <c r="M22" s="313"/>
      <c r="N22" s="313">
        <f t="shared" si="1"/>
        <v>188.76190476190476</v>
      </c>
      <c r="O22" s="313"/>
      <c r="P22" s="314"/>
    </row>
    <row r="23" spans="1:21" s="77" customFormat="1" x14ac:dyDescent="0.25">
      <c r="A23" s="199" t="s">
        <v>343</v>
      </c>
      <c r="B23" s="313">
        <v>4928</v>
      </c>
      <c r="C23" s="313"/>
      <c r="D23" s="313">
        <v>6246</v>
      </c>
      <c r="E23" s="313"/>
      <c r="F23" s="336">
        <v>7000</v>
      </c>
      <c r="G23" s="337"/>
      <c r="H23" s="313">
        <f>F23/4*4</f>
        <v>7000</v>
      </c>
      <c r="I23" s="313"/>
      <c r="J23" s="336">
        <v>6054</v>
      </c>
      <c r="K23" s="337"/>
      <c r="L23" s="313">
        <f t="shared" si="0"/>
        <v>-946</v>
      </c>
      <c r="M23" s="313"/>
      <c r="N23" s="313">
        <f t="shared" si="1"/>
        <v>86.48571428571428</v>
      </c>
      <c r="O23" s="313"/>
      <c r="P23" s="314"/>
    </row>
    <row r="24" spans="1:21" s="77" customFormat="1" ht="31.5" customHeight="1" x14ac:dyDescent="0.25">
      <c r="A24" s="58" t="s">
        <v>344</v>
      </c>
      <c r="B24" s="338">
        <f>SUM(B25:C27)</f>
        <v>7400</v>
      </c>
      <c r="C24" s="338"/>
      <c r="D24" s="338">
        <f>D25+D26+D27</f>
        <v>7511</v>
      </c>
      <c r="E24" s="338"/>
      <c r="F24" s="338">
        <f>F25+F26+F27</f>
        <v>8400</v>
      </c>
      <c r="G24" s="338"/>
      <c r="H24" s="338">
        <f>SUM(H25:I27)</f>
        <v>8400</v>
      </c>
      <c r="I24" s="338"/>
      <c r="J24" s="339">
        <f>J25+J26+J27</f>
        <v>8408</v>
      </c>
      <c r="K24" s="340"/>
      <c r="L24" s="313">
        <f t="shared" si="0"/>
        <v>8</v>
      </c>
      <c r="M24" s="313"/>
      <c r="N24" s="313">
        <f t="shared" si="1"/>
        <v>100.0952380952381</v>
      </c>
      <c r="O24" s="313"/>
      <c r="P24" s="314"/>
    </row>
    <row r="25" spans="1:21" s="77" customFormat="1" x14ac:dyDescent="0.25">
      <c r="A25" s="199" t="s">
        <v>341</v>
      </c>
      <c r="B25" s="313">
        <f>B21</f>
        <v>300</v>
      </c>
      <c r="C25" s="313"/>
      <c r="D25" s="313">
        <f>D21</f>
        <v>312</v>
      </c>
      <c r="E25" s="313"/>
      <c r="F25" s="313">
        <f>F21</f>
        <v>350</v>
      </c>
      <c r="G25" s="313"/>
      <c r="H25" s="313">
        <f>H21</f>
        <v>350</v>
      </c>
      <c r="I25" s="313"/>
      <c r="J25" s="336">
        <f>J21</f>
        <v>360</v>
      </c>
      <c r="K25" s="337"/>
      <c r="L25" s="313">
        <f t="shared" si="0"/>
        <v>10</v>
      </c>
      <c r="M25" s="313"/>
      <c r="N25" s="313">
        <f t="shared" si="1"/>
        <v>102.85714285714286</v>
      </c>
      <c r="O25" s="313"/>
      <c r="P25" s="314"/>
    </row>
    <row r="26" spans="1:21" s="77" customFormat="1" x14ac:dyDescent="0.25">
      <c r="A26" s="199" t="s">
        <v>342</v>
      </c>
      <c r="B26" s="313">
        <f>B22</f>
        <v>2172</v>
      </c>
      <c r="C26" s="313"/>
      <c r="D26" s="313">
        <f>D22</f>
        <v>875</v>
      </c>
      <c r="E26" s="313"/>
      <c r="F26" s="313">
        <f>F22</f>
        <v>1050</v>
      </c>
      <c r="G26" s="313"/>
      <c r="H26" s="313">
        <f>H22</f>
        <v>1050</v>
      </c>
      <c r="I26" s="313"/>
      <c r="J26" s="336">
        <f>J22</f>
        <v>1982</v>
      </c>
      <c r="K26" s="337"/>
      <c r="L26" s="313">
        <f t="shared" si="0"/>
        <v>932</v>
      </c>
      <c r="M26" s="313"/>
      <c r="N26" s="313">
        <f t="shared" si="1"/>
        <v>188.76190476190476</v>
      </c>
      <c r="O26" s="313"/>
      <c r="P26" s="314"/>
      <c r="U26" s="77" t="s">
        <v>3</v>
      </c>
    </row>
    <row r="27" spans="1:21" s="77" customFormat="1" x14ac:dyDescent="0.25">
      <c r="A27" s="199" t="s">
        <v>343</v>
      </c>
      <c r="B27" s="313">
        <f>B23</f>
        <v>4928</v>
      </c>
      <c r="C27" s="313"/>
      <c r="D27" s="313">
        <v>6324</v>
      </c>
      <c r="E27" s="313"/>
      <c r="F27" s="313">
        <f>F23</f>
        <v>7000</v>
      </c>
      <c r="G27" s="313"/>
      <c r="H27" s="313">
        <f>H23</f>
        <v>7000</v>
      </c>
      <c r="I27" s="313"/>
      <c r="J27" s="336">
        <v>6066</v>
      </c>
      <c r="K27" s="337"/>
      <c r="L27" s="313">
        <f t="shared" si="0"/>
        <v>-934</v>
      </c>
      <c r="M27" s="313"/>
      <c r="N27" s="313">
        <f t="shared" si="1"/>
        <v>86.657142857142858</v>
      </c>
      <c r="O27" s="313"/>
      <c r="P27" s="314"/>
    </row>
    <row r="28" spans="1:21" s="77" customFormat="1" ht="31.5" x14ac:dyDescent="0.25">
      <c r="A28" s="58" t="s">
        <v>345</v>
      </c>
      <c r="B28" s="338">
        <v>6357</v>
      </c>
      <c r="C28" s="338"/>
      <c r="D28" s="338">
        <v>7463</v>
      </c>
      <c r="E28" s="338"/>
      <c r="F28" s="338">
        <v>7778</v>
      </c>
      <c r="G28" s="338"/>
      <c r="H28" s="338">
        <v>7778</v>
      </c>
      <c r="I28" s="338"/>
      <c r="J28" s="339">
        <v>8533</v>
      </c>
      <c r="K28" s="340"/>
      <c r="L28" s="313">
        <f t="shared" si="0"/>
        <v>755</v>
      </c>
      <c r="M28" s="313"/>
      <c r="N28" s="313">
        <f t="shared" si="1"/>
        <v>109.70686551812805</v>
      </c>
      <c r="O28" s="313"/>
      <c r="P28" s="314"/>
    </row>
    <row r="29" spans="1:21" s="77" customFormat="1" x14ac:dyDescent="0.25">
      <c r="A29" s="199" t="s">
        <v>341</v>
      </c>
      <c r="B29" s="313">
        <v>25000</v>
      </c>
      <c r="C29" s="313"/>
      <c r="D29" s="313">
        <v>24781</v>
      </c>
      <c r="E29" s="313"/>
      <c r="F29" s="313">
        <v>29167</v>
      </c>
      <c r="G29" s="313"/>
      <c r="H29" s="313">
        <v>29167</v>
      </c>
      <c r="I29" s="313"/>
      <c r="J29" s="299">
        <v>30002</v>
      </c>
      <c r="K29" s="300"/>
      <c r="L29" s="313">
        <f t="shared" si="0"/>
        <v>835</v>
      </c>
      <c r="M29" s="313"/>
      <c r="N29" s="313">
        <f t="shared" si="1"/>
        <v>102.86282442486372</v>
      </c>
      <c r="O29" s="313"/>
      <c r="P29" s="314"/>
    </row>
    <row r="30" spans="1:21" s="77" customFormat="1" x14ac:dyDescent="0.25">
      <c r="A30" s="199" t="s">
        <v>342</v>
      </c>
      <c r="B30" s="313">
        <v>12928</v>
      </c>
      <c r="C30" s="313"/>
      <c r="D30" s="313">
        <v>16091</v>
      </c>
      <c r="E30" s="313"/>
      <c r="F30" s="313">
        <v>17500</v>
      </c>
      <c r="G30" s="313"/>
      <c r="H30" s="313">
        <v>17500</v>
      </c>
      <c r="I30" s="313"/>
      <c r="J30" s="336">
        <v>16520</v>
      </c>
      <c r="K30" s="337"/>
      <c r="L30" s="313">
        <f t="shared" si="0"/>
        <v>-980</v>
      </c>
      <c r="M30" s="313"/>
      <c r="N30" s="313">
        <f t="shared" si="1"/>
        <v>94.4</v>
      </c>
      <c r="O30" s="313"/>
      <c r="P30" s="314"/>
    </row>
    <row r="31" spans="1:21" s="77" customFormat="1" x14ac:dyDescent="0.25">
      <c r="A31" s="199" t="s">
        <v>343</v>
      </c>
      <c r="B31" s="313">
        <v>5008</v>
      </c>
      <c r="C31" s="313"/>
      <c r="D31" s="313">
        <v>6415</v>
      </c>
      <c r="E31" s="313"/>
      <c r="F31" s="313">
        <v>8838</v>
      </c>
      <c r="G31" s="313"/>
      <c r="H31" s="313">
        <v>8838</v>
      </c>
      <c r="I31" s="313"/>
      <c r="J31" s="336">
        <v>7106</v>
      </c>
      <c r="K31" s="337"/>
      <c r="L31" s="313">
        <f t="shared" si="0"/>
        <v>-1732</v>
      </c>
      <c r="M31" s="313"/>
      <c r="N31" s="313">
        <f t="shared" si="1"/>
        <v>80.402806064720522</v>
      </c>
      <c r="O31" s="313"/>
      <c r="P31" s="314"/>
    </row>
    <row r="32" spans="1:21" s="77" customFormat="1" ht="31.5" customHeight="1" x14ac:dyDescent="0.25">
      <c r="A32" s="58" t="s">
        <v>346</v>
      </c>
      <c r="B32" s="338">
        <v>6357</v>
      </c>
      <c r="C32" s="338"/>
      <c r="D32" s="338">
        <v>7541</v>
      </c>
      <c r="E32" s="338"/>
      <c r="F32" s="338">
        <v>7778</v>
      </c>
      <c r="G32" s="338"/>
      <c r="H32" s="338">
        <f>H28</f>
        <v>7778</v>
      </c>
      <c r="I32" s="338"/>
      <c r="J32" s="339">
        <v>8545</v>
      </c>
      <c r="K32" s="340"/>
      <c r="L32" s="313">
        <f t="shared" si="0"/>
        <v>767</v>
      </c>
      <c r="M32" s="313"/>
      <c r="N32" s="313">
        <f t="shared" si="1"/>
        <v>109.86114682437645</v>
      </c>
      <c r="O32" s="313"/>
      <c r="P32" s="314"/>
    </row>
    <row r="33" spans="1:21" s="77" customFormat="1" x14ac:dyDescent="0.25">
      <c r="A33" s="199" t="s">
        <v>341</v>
      </c>
      <c r="B33" s="313">
        <f>B29</f>
        <v>25000</v>
      </c>
      <c r="C33" s="313"/>
      <c r="D33" s="313">
        <v>26039</v>
      </c>
      <c r="E33" s="313"/>
      <c r="F33" s="313">
        <v>29167</v>
      </c>
      <c r="G33" s="313"/>
      <c r="H33" s="313">
        <f>H29</f>
        <v>29167</v>
      </c>
      <c r="I33" s="313"/>
      <c r="J33" s="336">
        <f>J29</f>
        <v>30002</v>
      </c>
      <c r="K33" s="337"/>
      <c r="L33" s="313">
        <f t="shared" si="0"/>
        <v>835</v>
      </c>
      <c r="M33" s="313"/>
      <c r="N33" s="313">
        <f t="shared" si="1"/>
        <v>102.86282442486372</v>
      </c>
      <c r="O33" s="313"/>
      <c r="P33" s="314"/>
    </row>
    <row r="34" spans="1:21" s="77" customFormat="1" x14ac:dyDescent="0.25">
      <c r="A34" s="199" t="s">
        <v>342</v>
      </c>
      <c r="B34" s="313">
        <f t="shared" ref="B34:B35" si="2">B30</f>
        <v>12928</v>
      </c>
      <c r="C34" s="313"/>
      <c r="D34" s="313">
        <v>14020</v>
      </c>
      <c r="E34" s="313"/>
      <c r="F34" s="313">
        <v>17500</v>
      </c>
      <c r="G34" s="313"/>
      <c r="H34" s="313">
        <v>17500</v>
      </c>
      <c r="I34" s="313"/>
      <c r="J34" s="336">
        <f>J30</f>
        <v>16520</v>
      </c>
      <c r="K34" s="337"/>
      <c r="L34" s="313">
        <f t="shared" si="0"/>
        <v>-980</v>
      </c>
      <c r="M34" s="313"/>
      <c r="N34" s="313">
        <f t="shared" si="1"/>
        <v>94.4</v>
      </c>
      <c r="O34" s="313"/>
      <c r="P34" s="314"/>
    </row>
    <row r="35" spans="1:21" s="77" customFormat="1" x14ac:dyDescent="0.25">
      <c r="A35" s="199" t="s">
        <v>343</v>
      </c>
      <c r="B35" s="313">
        <f t="shared" si="2"/>
        <v>5008</v>
      </c>
      <c r="C35" s="313"/>
      <c r="D35" s="313">
        <v>6756</v>
      </c>
      <c r="E35" s="313"/>
      <c r="F35" s="313">
        <v>8838</v>
      </c>
      <c r="G35" s="313"/>
      <c r="H35" s="313">
        <v>8838</v>
      </c>
      <c r="I35" s="313"/>
      <c r="J35" s="336">
        <v>7120</v>
      </c>
      <c r="K35" s="337"/>
      <c r="L35" s="313">
        <f t="shared" si="0"/>
        <v>-1718</v>
      </c>
      <c r="M35" s="313"/>
      <c r="N35" s="313">
        <f t="shared" si="1"/>
        <v>80.561212944104994</v>
      </c>
      <c r="O35" s="313"/>
      <c r="P35" s="314"/>
    </row>
    <row r="36" spans="1:21" s="77" customFormat="1" ht="13.5" customHeight="1" x14ac:dyDescent="0.25">
      <c r="A36" s="80"/>
      <c r="B36" s="80"/>
      <c r="C36" s="80"/>
      <c r="D36" s="81"/>
      <c r="E36" s="81"/>
      <c r="F36" s="81"/>
      <c r="G36" s="81"/>
      <c r="H36" s="81"/>
      <c r="I36" s="81"/>
      <c r="J36" s="81"/>
      <c r="K36" s="81"/>
      <c r="L36" s="81"/>
      <c r="M36" s="81"/>
      <c r="N36" s="82"/>
      <c r="O36" s="82"/>
      <c r="P36" s="314"/>
    </row>
    <row r="37" spans="1:21" ht="22.5" customHeight="1" x14ac:dyDescent="0.25">
      <c r="A37" s="335" t="s">
        <v>347</v>
      </c>
      <c r="B37" s="335"/>
      <c r="C37" s="335"/>
      <c r="D37" s="335"/>
      <c r="E37" s="335"/>
      <c r="F37" s="335"/>
      <c r="G37" s="335"/>
      <c r="H37" s="335"/>
      <c r="I37" s="335"/>
      <c r="J37" s="335"/>
      <c r="K37" s="335"/>
      <c r="L37" s="335"/>
      <c r="M37" s="335"/>
      <c r="N37" s="335"/>
      <c r="O37" s="335"/>
      <c r="P37" s="314"/>
    </row>
    <row r="38" spans="1:21" ht="11.25" customHeight="1" x14ac:dyDescent="0.25">
      <c r="A38" s="83"/>
      <c r="B38" s="83"/>
      <c r="C38" s="83"/>
      <c r="D38" s="83"/>
      <c r="E38" s="83"/>
      <c r="F38" s="83"/>
      <c r="G38" s="83"/>
      <c r="H38" s="83"/>
      <c r="I38" s="83"/>
      <c r="P38" s="314"/>
    </row>
    <row r="39" spans="1:21" ht="30.75" customHeight="1" x14ac:dyDescent="0.25">
      <c r="A39" s="307" t="s">
        <v>348</v>
      </c>
      <c r="B39" s="307"/>
      <c r="C39" s="307"/>
      <c r="D39" s="307"/>
      <c r="E39" s="307"/>
      <c r="F39" s="307"/>
      <c r="G39" s="307"/>
      <c r="H39" s="307"/>
      <c r="I39" s="307"/>
      <c r="J39" s="307"/>
      <c r="K39" s="307"/>
      <c r="L39" s="307"/>
      <c r="M39" s="307"/>
      <c r="N39" s="307"/>
      <c r="O39" s="307"/>
      <c r="P39" s="314"/>
    </row>
    <row r="40" spans="1:21" ht="12.75" hidden="1" customHeight="1" x14ac:dyDescent="0.25">
      <c r="P40" s="314"/>
    </row>
    <row r="41" spans="1:21" ht="24.95" customHeight="1" x14ac:dyDescent="0.25">
      <c r="A41" s="200" t="s">
        <v>349</v>
      </c>
      <c r="B41" s="302" t="s">
        <v>350</v>
      </c>
      <c r="C41" s="310"/>
      <c r="D41" s="310"/>
      <c r="E41" s="310"/>
      <c r="F41" s="308" t="s">
        <v>510</v>
      </c>
      <c r="G41" s="308"/>
      <c r="H41" s="308"/>
      <c r="I41" s="308"/>
      <c r="J41" s="308"/>
      <c r="K41" s="308"/>
      <c r="L41" s="308"/>
      <c r="M41" s="308"/>
      <c r="N41" s="308"/>
      <c r="O41" s="308"/>
      <c r="P41" s="314"/>
    </row>
    <row r="42" spans="1:21" ht="17.25" customHeight="1" x14ac:dyDescent="0.25">
      <c r="A42" s="200">
        <v>1</v>
      </c>
      <c r="B42" s="302">
        <v>2</v>
      </c>
      <c r="C42" s="310"/>
      <c r="D42" s="310"/>
      <c r="E42" s="310"/>
      <c r="F42" s="308">
        <v>3</v>
      </c>
      <c r="G42" s="308"/>
      <c r="H42" s="308"/>
      <c r="I42" s="308"/>
      <c r="J42" s="308"/>
      <c r="K42" s="308"/>
      <c r="L42" s="308"/>
      <c r="M42" s="308"/>
      <c r="N42" s="308"/>
      <c r="O42" s="308"/>
      <c r="P42" s="314"/>
    </row>
    <row r="43" spans="1:21" ht="20.100000000000001" customHeight="1" x14ac:dyDescent="0.25">
      <c r="A43" s="72"/>
      <c r="B43" s="331"/>
      <c r="C43" s="332"/>
      <c r="D43" s="332"/>
      <c r="E43" s="332"/>
      <c r="F43" s="312"/>
      <c r="G43" s="312"/>
      <c r="H43" s="312"/>
      <c r="I43" s="312"/>
      <c r="J43" s="312"/>
      <c r="K43" s="312"/>
      <c r="L43" s="312"/>
      <c r="M43" s="312"/>
      <c r="N43" s="312"/>
      <c r="O43" s="312"/>
      <c r="P43" s="314"/>
    </row>
    <row r="44" spans="1:21" ht="20.100000000000001" customHeight="1" x14ac:dyDescent="0.25">
      <c r="A44" s="72"/>
      <c r="B44" s="331"/>
      <c r="C44" s="332"/>
      <c r="D44" s="332"/>
      <c r="E44" s="332"/>
      <c r="F44" s="312"/>
      <c r="G44" s="312"/>
      <c r="H44" s="312"/>
      <c r="I44" s="312"/>
      <c r="J44" s="312"/>
      <c r="K44" s="312"/>
      <c r="L44" s="312"/>
      <c r="M44" s="312"/>
      <c r="N44" s="312"/>
      <c r="O44" s="312"/>
      <c r="P44" s="314"/>
    </row>
    <row r="45" spans="1:21" ht="20.100000000000001" hidden="1" customHeight="1" outlineLevel="1" x14ac:dyDescent="0.25">
      <c r="A45" s="73"/>
      <c r="B45" s="229"/>
      <c r="C45" s="229"/>
      <c r="D45" s="229"/>
      <c r="E45" s="229"/>
      <c r="F45" s="84"/>
      <c r="G45" s="84"/>
      <c r="H45" s="84"/>
      <c r="I45" s="84"/>
      <c r="J45" s="84"/>
      <c r="K45" s="84"/>
      <c r="L45" s="84"/>
      <c r="M45" s="333" t="s">
        <v>0</v>
      </c>
      <c r="N45" s="333"/>
      <c r="O45" s="333"/>
      <c r="P45" s="205"/>
    </row>
    <row r="46" spans="1:21" ht="20.100000000000001" hidden="1" customHeight="1" outlineLevel="1" x14ac:dyDescent="0.25">
      <c r="A46" s="73"/>
      <c r="B46" s="229"/>
      <c r="C46" s="229"/>
      <c r="D46" s="229"/>
      <c r="E46" s="229"/>
      <c r="F46" s="84"/>
      <c r="G46" s="84"/>
      <c r="H46" s="84"/>
      <c r="I46" s="84"/>
      <c r="J46" s="84"/>
      <c r="K46" s="84"/>
      <c r="L46" s="84"/>
      <c r="M46" s="334" t="s">
        <v>351</v>
      </c>
      <c r="N46" s="334"/>
      <c r="O46" s="334"/>
      <c r="P46" s="205"/>
    </row>
    <row r="47" spans="1:21" s="98" customFormat="1" ht="20.100000000000001" hidden="1" customHeight="1" outlineLevel="1" x14ac:dyDescent="0.25">
      <c r="A47" s="73"/>
      <c r="B47" s="229"/>
      <c r="C47" s="229"/>
      <c r="D47" s="229"/>
      <c r="E47" s="229"/>
      <c r="F47" s="84"/>
      <c r="G47" s="84"/>
      <c r="H47" s="84"/>
      <c r="I47" s="84"/>
      <c r="J47" s="84"/>
      <c r="K47" s="84"/>
      <c r="L47" s="84"/>
      <c r="M47" s="207"/>
      <c r="N47" s="207"/>
      <c r="O47" s="207"/>
      <c r="P47" s="205"/>
      <c r="Q47" s="210"/>
      <c r="R47" s="210"/>
      <c r="S47" s="210"/>
      <c r="T47" s="210"/>
      <c r="U47" s="210"/>
    </row>
    <row r="48" spans="1:21" s="98" customFormat="1" ht="20.100000000000001" customHeight="1" outlineLevel="1" x14ac:dyDescent="0.25">
      <c r="A48" s="73"/>
      <c r="B48" s="229"/>
      <c r="C48" s="229"/>
      <c r="D48" s="229"/>
      <c r="E48" s="229"/>
      <c r="F48" s="84"/>
      <c r="G48" s="84"/>
      <c r="H48" s="84"/>
      <c r="I48" s="84"/>
      <c r="J48" s="84"/>
      <c r="K48" s="84"/>
      <c r="L48" s="84"/>
      <c r="M48" s="207"/>
      <c r="N48" s="207"/>
      <c r="O48" s="207"/>
      <c r="P48" s="205"/>
      <c r="Q48" s="210"/>
      <c r="R48" s="210"/>
      <c r="S48" s="210"/>
      <c r="T48" s="210"/>
      <c r="U48" s="210"/>
    </row>
    <row r="49" spans="1:21" s="98" customFormat="1" ht="20.100000000000001" customHeight="1" outlineLevel="1" x14ac:dyDescent="0.25">
      <c r="A49" s="73"/>
      <c r="B49" s="229"/>
      <c r="C49" s="229"/>
      <c r="D49" s="229"/>
      <c r="E49" s="229"/>
      <c r="F49" s="84"/>
      <c r="G49" s="84"/>
      <c r="H49" s="84"/>
      <c r="I49" s="84"/>
      <c r="J49" s="84"/>
      <c r="K49" s="84"/>
      <c r="L49" s="84"/>
      <c r="M49" s="207"/>
      <c r="N49" s="207"/>
      <c r="O49" s="207"/>
      <c r="P49" s="205"/>
      <c r="Q49" s="210"/>
      <c r="R49" s="210"/>
      <c r="S49" s="210"/>
      <c r="T49" s="210"/>
      <c r="U49" s="210"/>
    </row>
    <row r="50" spans="1:21" x14ac:dyDescent="0.25">
      <c r="A50" s="307" t="s">
        <v>352</v>
      </c>
      <c r="B50" s="307"/>
      <c r="C50" s="307"/>
      <c r="D50" s="307"/>
      <c r="E50" s="307"/>
      <c r="F50" s="307"/>
      <c r="G50" s="307"/>
      <c r="H50" s="307"/>
      <c r="I50" s="307"/>
      <c r="J50" s="307"/>
      <c r="P50" s="314">
        <v>38</v>
      </c>
    </row>
    <row r="51" spans="1:21" x14ac:dyDescent="0.25">
      <c r="P51" s="314"/>
    </row>
    <row r="52" spans="1:21" ht="30" customHeight="1" x14ac:dyDescent="0.25">
      <c r="A52" s="315" t="s">
        <v>97</v>
      </c>
      <c r="B52" s="316"/>
      <c r="C52" s="317"/>
      <c r="D52" s="304" t="s">
        <v>465</v>
      </c>
      <c r="E52" s="304"/>
      <c r="F52" s="304"/>
      <c r="G52" s="304" t="s">
        <v>466</v>
      </c>
      <c r="H52" s="304"/>
      <c r="I52" s="304"/>
      <c r="J52" s="304" t="s">
        <v>331</v>
      </c>
      <c r="K52" s="304"/>
      <c r="L52" s="304"/>
      <c r="M52" s="305" t="s">
        <v>332</v>
      </c>
      <c r="N52" s="306"/>
      <c r="O52" s="321" t="s">
        <v>353</v>
      </c>
      <c r="P52" s="314"/>
    </row>
    <row r="53" spans="1:21" ht="149.25" customHeight="1" x14ac:dyDescent="0.25">
      <c r="A53" s="318"/>
      <c r="B53" s="319"/>
      <c r="C53" s="320"/>
      <c r="D53" s="201" t="s">
        <v>354</v>
      </c>
      <c r="E53" s="201" t="s">
        <v>355</v>
      </c>
      <c r="F53" s="201" t="s">
        <v>356</v>
      </c>
      <c r="G53" s="201" t="s">
        <v>354</v>
      </c>
      <c r="H53" s="201" t="s">
        <v>355</v>
      </c>
      <c r="I53" s="201" t="s">
        <v>357</v>
      </c>
      <c r="J53" s="201" t="s">
        <v>354</v>
      </c>
      <c r="K53" s="201" t="s">
        <v>355</v>
      </c>
      <c r="L53" s="201" t="s">
        <v>357</v>
      </c>
      <c r="M53" s="201" t="s">
        <v>358</v>
      </c>
      <c r="N53" s="201" t="s">
        <v>359</v>
      </c>
      <c r="O53" s="322"/>
      <c r="P53" s="314"/>
    </row>
    <row r="54" spans="1:21" x14ac:dyDescent="0.25">
      <c r="A54" s="305">
        <v>1</v>
      </c>
      <c r="B54" s="323"/>
      <c r="C54" s="306"/>
      <c r="D54" s="201">
        <v>4</v>
      </c>
      <c r="E54" s="201">
        <v>5</v>
      </c>
      <c r="F54" s="201">
        <v>6</v>
      </c>
      <c r="G54" s="201">
        <v>7</v>
      </c>
      <c r="H54" s="203">
        <v>8</v>
      </c>
      <c r="I54" s="203">
        <v>9</v>
      </c>
      <c r="J54" s="203">
        <v>10</v>
      </c>
      <c r="K54" s="203">
        <v>11</v>
      </c>
      <c r="L54" s="203">
        <v>12</v>
      </c>
      <c r="M54" s="203">
        <v>13</v>
      </c>
      <c r="N54" s="203">
        <v>14</v>
      </c>
      <c r="O54" s="203">
        <v>15</v>
      </c>
      <c r="P54" s="314"/>
    </row>
    <row r="55" spans="1:21" x14ac:dyDescent="0.25">
      <c r="A55" s="324" t="s">
        <v>360</v>
      </c>
      <c r="B55" s="325"/>
      <c r="C55" s="326"/>
      <c r="D55" s="204">
        <f>12300/4*4</f>
        <v>12300</v>
      </c>
      <c r="E55" s="204">
        <f>D55/F55*1000</f>
        <v>87907.375643224717</v>
      </c>
      <c r="F55" s="189">
        <f>I55</f>
        <v>139.91999999999999</v>
      </c>
      <c r="G55" s="204">
        <v>13042</v>
      </c>
      <c r="H55" s="204">
        <f>G55/I55*1000</f>
        <v>93210.405946255007</v>
      </c>
      <c r="I55" s="189">
        <v>139.91999999999999</v>
      </c>
      <c r="J55" s="74">
        <f t="shared" ref="J55:L56" si="3">G55-D55</f>
        <v>742</v>
      </c>
      <c r="K55" s="204">
        <f t="shared" si="3"/>
        <v>5303.0303030302894</v>
      </c>
      <c r="L55" s="204">
        <f t="shared" si="3"/>
        <v>0</v>
      </c>
      <c r="M55" s="74">
        <f>G55*100/D55</f>
        <v>106.03252032520325</v>
      </c>
      <c r="N55" s="204">
        <f>H55/E55*100</f>
        <v>106.03252032520322</v>
      </c>
      <c r="O55" s="204">
        <f>I55-F55</f>
        <v>0</v>
      </c>
      <c r="P55" s="314"/>
    </row>
    <row r="56" spans="1:21" s="86" customFormat="1" x14ac:dyDescent="0.25">
      <c r="A56" s="324" t="s">
        <v>418</v>
      </c>
      <c r="B56" s="325"/>
      <c r="C56" s="326"/>
      <c r="D56" s="204">
        <f>14900/4*4</f>
        <v>14900</v>
      </c>
      <c r="E56" s="204">
        <f>D56/F56*1000</f>
        <v>3401826.4840182653</v>
      </c>
      <c r="F56" s="189">
        <v>4.38</v>
      </c>
      <c r="G56" s="204">
        <v>16126</v>
      </c>
      <c r="H56" s="204">
        <f>G56/I56*1000</f>
        <v>3656689.3424036279</v>
      </c>
      <c r="I56" s="189">
        <v>4.41</v>
      </c>
      <c r="J56" s="74">
        <f t="shared" si="3"/>
        <v>1226</v>
      </c>
      <c r="K56" s="204">
        <f t="shared" si="3"/>
        <v>254862.85838536266</v>
      </c>
      <c r="L56" s="189">
        <f t="shared" si="3"/>
        <v>3.0000000000000249E-2</v>
      </c>
      <c r="M56" s="74">
        <f>G56*100/D56</f>
        <v>108.22818791946308</v>
      </c>
      <c r="N56" s="204">
        <f>H56/E56*100</f>
        <v>107.49194174314019</v>
      </c>
      <c r="O56" s="189">
        <f>I56-F56</f>
        <v>3.0000000000000249E-2</v>
      </c>
      <c r="P56" s="314"/>
      <c r="Q56" s="210"/>
      <c r="R56" s="210" t="s">
        <v>508</v>
      </c>
      <c r="S56" s="210"/>
      <c r="T56" s="210"/>
      <c r="U56" s="210"/>
    </row>
    <row r="57" spans="1:21" ht="24.95" customHeight="1" x14ac:dyDescent="0.25">
      <c r="A57" s="327" t="s">
        <v>89</v>
      </c>
      <c r="B57" s="328"/>
      <c r="C57" s="329"/>
      <c r="D57" s="204">
        <f>SUM(D55:D56)</f>
        <v>27200</v>
      </c>
      <c r="E57" s="204"/>
      <c r="F57" s="208"/>
      <c r="G57" s="204">
        <f>SUM(G55:G56)</f>
        <v>29168</v>
      </c>
      <c r="H57" s="208"/>
      <c r="I57" s="208"/>
      <c r="J57" s="208">
        <f>SUM(J55:J56)</f>
        <v>1968</v>
      </c>
      <c r="K57" s="208"/>
      <c r="L57" s="208"/>
      <c r="M57" s="208">
        <f>G57/D57*100</f>
        <v>107.23529411764704</v>
      </c>
      <c r="N57" s="208"/>
      <c r="O57" s="208"/>
      <c r="P57" s="314"/>
    </row>
    <row r="58" spans="1:21" x14ac:dyDescent="0.25">
      <c r="A58" s="330" t="s">
        <v>361</v>
      </c>
      <c r="B58" s="330"/>
      <c r="C58" s="330"/>
      <c r="D58" s="330"/>
      <c r="E58" s="330"/>
      <c r="F58" s="330"/>
      <c r="G58" s="330"/>
      <c r="H58" s="76"/>
      <c r="I58" s="202"/>
      <c r="J58" s="202"/>
      <c r="K58" s="202"/>
      <c r="L58" s="202"/>
      <c r="M58" s="202"/>
      <c r="N58" s="202"/>
      <c r="O58" s="202"/>
      <c r="P58" s="314"/>
    </row>
    <row r="59" spans="1:21" x14ac:dyDescent="0.25">
      <c r="A59" s="307" t="s">
        <v>362</v>
      </c>
      <c r="B59" s="307"/>
      <c r="C59" s="307"/>
      <c r="D59" s="307"/>
      <c r="E59" s="307"/>
      <c r="F59" s="307"/>
      <c r="G59" s="307"/>
      <c r="H59" s="307"/>
      <c r="I59" s="307"/>
      <c r="J59" s="307"/>
      <c r="K59" s="307"/>
      <c r="L59" s="307"/>
      <c r="M59" s="307"/>
      <c r="N59" s="307"/>
      <c r="O59" s="307"/>
      <c r="P59" s="314"/>
    </row>
    <row r="60" spans="1:21" x14ac:dyDescent="0.25">
      <c r="P60" s="314"/>
    </row>
    <row r="61" spans="1:21" ht="56.25" customHeight="1" x14ac:dyDescent="0.25">
      <c r="A61" s="201" t="s">
        <v>363</v>
      </c>
      <c r="B61" s="304" t="s">
        <v>364</v>
      </c>
      <c r="C61" s="304"/>
      <c r="D61" s="304" t="s">
        <v>365</v>
      </c>
      <c r="E61" s="304"/>
      <c r="F61" s="304" t="s">
        <v>366</v>
      </c>
      <c r="G61" s="304"/>
      <c r="H61" s="304" t="s">
        <v>367</v>
      </c>
      <c r="I61" s="304"/>
      <c r="J61" s="304"/>
      <c r="K61" s="305" t="s">
        <v>368</v>
      </c>
      <c r="L61" s="306"/>
      <c r="M61" s="305" t="s">
        <v>369</v>
      </c>
      <c r="N61" s="323"/>
      <c r="O61" s="306"/>
      <c r="P61" s="314"/>
    </row>
    <row r="62" spans="1:21" x14ac:dyDescent="0.25">
      <c r="A62" s="203">
        <v>1</v>
      </c>
      <c r="B62" s="308">
        <v>2</v>
      </c>
      <c r="C62" s="308"/>
      <c r="D62" s="308">
        <v>3</v>
      </c>
      <c r="E62" s="308"/>
      <c r="F62" s="308">
        <v>4</v>
      </c>
      <c r="G62" s="308"/>
      <c r="H62" s="308">
        <v>5</v>
      </c>
      <c r="I62" s="308"/>
      <c r="J62" s="308"/>
      <c r="K62" s="308">
        <v>6</v>
      </c>
      <c r="L62" s="308"/>
      <c r="M62" s="302">
        <v>7</v>
      </c>
      <c r="N62" s="310"/>
      <c r="O62" s="303"/>
      <c r="P62" s="314"/>
    </row>
    <row r="63" spans="1:21" x14ac:dyDescent="0.25">
      <c r="A63" s="206"/>
      <c r="B63" s="312"/>
      <c r="C63" s="312"/>
      <c r="D63" s="309"/>
      <c r="E63" s="309"/>
      <c r="F63" s="313" t="s">
        <v>370</v>
      </c>
      <c r="G63" s="313"/>
      <c r="H63" s="311"/>
      <c r="I63" s="311"/>
      <c r="J63" s="311"/>
      <c r="K63" s="299"/>
      <c r="L63" s="300"/>
      <c r="M63" s="309"/>
      <c r="N63" s="309"/>
      <c r="O63" s="309"/>
      <c r="P63" s="314"/>
    </row>
    <row r="64" spans="1:21" x14ac:dyDescent="0.25">
      <c r="A64" s="206"/>
      <c r="B64" s="312"/>
      <c r="C64" s="312"/>
      <c r="D64" s="309"/>
      <c r="E64" s="309"/>
      <c r="F64" s="313"/>
      <c r="G64" s="313"/>
      <c r="H64" s="311"/>
      <c r="I64" s="311"/>
      <c r="J64" s="311"/>
      <c r="K64" s="299"/>
      <c r="L64" s="300"/>
      <c r="M64" s="309"/>
      <c r="N64" s="309"/>
      <c r="O64" s="309"/>
      <c r="P64" s="314"/>
    </row>
    <row r="65" spans="1:16" x14ac:dyDescent="0.25">
      <c r="A65" s="75" t="s">
        <v>89</v>
      </c>
      <c r="B65" s="308" t="s">
        <v>371</v>
      </c>
      <c r="C65" s="308"/>
      <c r="D65" s="308" t="s">
        <v>371</v>
      </c>
      <c r="E65" s="308"/>
      <c r="F65" s="308" t="s">
        <v>371</v>
      </c>
      <c r="G65" s="308"/>
      <c r="H65" s="311"/>
      <c r="I65" s="311"/>
      <c r="J65" s="311"/>
      <c r="K65" s="299"/>
      <c r="L65" s="300"/>
      <c r="M65" s="309"/>
      <c r="N65" s="309"/>
      <c r="O65" s="309"/>
      <c r="P65" s="314"/>
    </row>
    <row r="66" spans="1:16" x14ac:dyDescent="0.25">
      <c r="A66" s="76"/>
      <c r="B66" s="209"/>
      <c r="C66" s="209"/>
      <c r="D66" s="209"/>
      <c r="E66" s="209"/>
      <c r="F66" s="209"/>
      <c r="G66" s="209"/>
      <c r="H66" s="209"/>
      <c r="I66" s="209"/>
      <c r="J66" s="209"/>
      <c r="K66" s="77"/>
      <c r="L66" s="77"/>
      <c r="M66" s="77"/>
      <c r="N66" s="77"/>
      <c r="O66" s="77"/>
      <c r="P66" s="314"/>
    </row>
    <row r="67" spans="1:16" x14ac:dyDescent="0.25">
      <c r="A67" s="307" t="s">
        <v>372</v>
      </c>
      <c r="B67" s="307"/>
      <c r="C67" s="307"/>
      <c r="D67" s="307"/>
      <c r="E67" s="307"/>
      <c r="F67" s="307"/>
      <c r="G67" s="307"/>
      <c r="H67" s="307"/>
      <c r="I67" s="307"/>
      <c r="J67" s="307"/>
      <c r="K67" s="307"/>
      <c r="L67" s="307"/>
      <c r="M67" s="307"/>
      <c r="N67" s="307"/>
      <c r="O67" s="307"/>
      <c r="P67" s="314"/>
    </row>
    <row r="68" spans="1:16" ht="15" customHeight="1" x14ac:dyDescent="0.25">
      <c r="A68" s="202"/>
      <c r="B68" s="202"/>
      <c r="C68" s="202"/>
      <c r="D68" s="202"/>
      <c r="E68" s="202"/>
      <c r="F68" s="202"/>
      <c r="G68" s="202"/>
      <c r="H68" s="202"/>
      <c r="I68" s="230"/>
      <c r="P68" s="314"/>
    </row>
    <row r="69" spans="1:16" ht="42.75" customHeight="1" x14ac:dyDescent="0.25">
      <c r="A69" s="304" t="s">
        <v>373</v>
      </c>
      <c r="B69" s="304"/>
      <c r="C69" s="304"/>
      <c r="D69" s="304" t="s">
        <v>374</v>
      </c>
      <c r="E69" s="304"/>
      <c r="F69" s="304" t="s">
        <v>375</v>
      </c>
      <c r="G69" s="304"/>
      <c r="H69" s="304"/>
      <c r="I69" s="304"/>
      <c r="J69" s="304" t="s">
        <v>376</v>
      </c>
      <c r="K69" s="304"/>
      <c r="L69" s="304"/>
      <c r="M69" s="304"/>
      <c r="N69" s="304" t="s">
        <v>377</v>
      </c>
      <c r="O69" s="304"/>
      <c r="P69" s="314"/>
    </row>
    <row r="70" spans="1:16" ht="42.75" customHeight="1" x14ac:dyDescent="0.25">
      <c r="A70" s="304"/>
      <c r="B70" s="304"/>
      <c r="C70" s="304"/>
      <c r="D70" s="304"/>
      <c r="E70" s="304"/>
      <c r="F70" s="308" t="s">
        <v>378</v>
      </c>
      <c r="G70" s="308"/>
      <c r="H70" s="304" t="s">
        <v>100</v>
      </c>
      <c r="I70" s="304"/>
      <c r="J70" s="308" t="s">
        <v>378</v>
      </c>
      <c r="K70" s="308"/>
      <c r="L70" s="304" t="s">
        <v>100</v>
      </c>
      <c r="M70" s="304"/>
      <c r="N70" s="304"/>
      <c r="O70" s="304"/>
      <c r="P70" s="314"/>
    </row>
    <row r="71" spans="1:16" x14ac:dyDescent="0.25">
      <c r="A71" s="304">
        <v>1</v>
      </c>
      <c r="B71" s="304"/>
      <c r="C71" s="304"/>
      <c r="D71" s="305">
        <v>2</v>
      </c>
      <c r="E71" s="306"/>
      <c r="F71" s="305">
        <v>3</v>
      </c>
      <c r="G71" s="306"/>
      <c r="H71" s="302">
        <v>4</v>
      </c>
      <c r="I71" s="303"/>
      <c r="J71" s="302">
        <v>5</v>
      </c>
      <c r="K71" s="303"/>
      <c r="L71" s="302">
        <v>6</v>
      </c>
      <c r="M71" s="303"/>
      <c r="N71" s="302">
        <v>7</v>
      </c>
      <c r="O71" s="303"/>
      <c r="P71" s="314"/>
    </row>
    <row r="72" spans="1:16" x14ac:dyDescent="0.25">
      <c r="A72" s="301" t="s">
        <v>379</v>
      </c>
      <c r="B72" s="301"/>
      <c r="C72" s="301"/>
      <c r="D72" s="299"/>
      <c r="E72" s="300"/>
      <c r="F72" s="299"/>
      <c r="G72" s="300"/>
      <c r="H72" s="299"/>
      <c r="I72" s="300"/>
      <c r="J72" s="299"/>
      <c r="K72" s="300"/>
      <c r="L72" s="299"/>
      <c r="M72" s="300"/>
      <c r="N72" s="299"/>
      <c r="O72" s="300"/>
      <c r="P72" s="314"/>
    </row>
    <row r="73" spans="1:16" x14ac:dyDescent="0.25">
      <c r="A73" s="301" t="s">
        <v>380</v>
      </c>
      <c r="B73" s="301"/>
      <c r="C73" s="301"/>
      <c r="D73" s="299"/>
      <c r="E73" s="300"/>
      <c r="F73" s="299"/>
      <c r="G73" s="300"/>
      <c r="H73" s="299"/>
      <c r="I73" s="300"/>
      <c r="J73" s="299"/>
      <c r="K73" s="300"/>
      <c r="L73" s="299"/>
      <c r="M73" s="300"/>
      <c r="N73" s="299"/>
      <c r="O73" s="300"/>
      <c r="P73" s="314"/>
    </row>
    <row r="74" spans="1:16" x14ac:dyDescent="0.25">
      <c r="A74" s="301"/>
      <c r="B74" s="301"/>
      <c r="C74" s="301"/>
      <c r="D74" s="299"/>
      <c r="E74" s="300"/>
      <c r="F74" s="299"/>
      <c r="G74" s="300"/>
      <c r="H74" s="299"/>
      <c r="I74" s="300"/>
      <c r="J74" s="299"/>
      <c r="K74" s="300"/>
      <c r="L74" s="299"/>
      <c r="M74" s="300"/>
      <c r="N74" s="299"/>
      <c r="O74" s="300"/>
      <c r="P74" s="314"/>
    </row>
    <row r="75" spans="1:16" x14ac:dyDescent="0.25">
      <c r="A75" s="301" t="s">
        <v>381</v>
      </c>
      <c r="B75" s="301"/>
      <c r="C75" s="301"/>
      <c r="D75" s="299"/>
      <c r="E75" s="300"/>
      <c r="F75" s="299"/>
      <c r="G75" s="300"/>
      <c r="H75" s="299"/>
      <c r="I75" s="300"/>
      <c r="J75" s="299"/>
      <c r="K75" s="300"/>
      <c r="L75" s="299"/>
      <c r="M75" s="300"/>
      <c r="N75" s="299"/>
      <c r="O75" s="300"/>
      <c r="P75" s="314"/>
    </row>
    <row r="76" spans="1:16" x14ac:dyDescent="0.25">
      <c r="A76" s="301" t="s">
        <v>382</v>
      </c>
      <c r="B76" s="301"/>
      <c r="C76" s="301"/>
      <c r="D76" s="299"/>
      <c r="E76" s="300"/>
      <c r="F76" s="299"/>
      <c r="G76" s="300"/>
      <c r="H76" s="299"/>
      <c r="I76" s="300"/>
      <c r="J76" s="299"/>
      <c r="K76" s="300"/>
      <c r="L76" s="299"/>
      <c r="M76" s="300"/>
      <c r="N76" s="299"/>
      <c r="O76" s="300"/>
      <c r="P76" s="314"/>
    </row>
    <row r="77" spans="1:16" x14ac:dyDescent="0.25">
      <c r="A77" s="301"/>
      <c r="B77" s="301"/>
      <c r="C77" s="301"/>
      <c r="D77" s="299"/>
      <c r="E77" s="300"/>
      <c r="F77" s="299"/>
      <c r="G77" s="300"/>
      <c r="H77" s="299"/>
      <c r="I77" s="300"/>
      <c r="J77" s="299"/>
      <c r="K77" s="300"/>
      <c r="L77" s="299"/>
      <c r="M77" s="300"/>
      <c r="N77" s="299"/>
      <c r="O77" s="300"/>
      <c r="P77" s="314"/>
    </row>
    <row r="78" spans="1:16" x14ac:dyDescent="0.25">
      <c r="A78" s="301" t="s">
        <v>383</v>
      </c>
      <c r="B78" s="301"/>
      <c r="C78" s="301"/>
      <c r="D78" s="299"/>
      <c r="E78" s="300"/>
      <c r="F78" s="299"/>
      <c r="G78" s="300"/>
      <c r="H78" s="299"/>
      <c r="I78" s="300"/>
      <c r="J78" s="299"/>
      <c r="K78" s="300"/>
      <c r="L78" s="299"/>
      <c r="M78" s="300"/>
      <c r="N78" s="299"/>
      <c r="O78" s="300"/>
      <c r="P78" s="314"/>
    </row>
    <row r="79" spans="1:16" x14ac:dyDescent="0.25">
      <c r="A79" s="301" t="s">
        <v>380</v>
      </c>
      <c r="B79" s="301"/>
      <c r="C79" s="301"/>
      <c r="D79" s="299"/>
      <c r="E79" s="300"/>
      <c r="F79" s="299"/>
      <c r="G79" s="300"/>
      <c r="H79" s="299"/>
      <c r="I79" s="300"/>
      <c r="J79" s="299"/>
      <c r="K79" s="300"/>
      <c r="L79" s="299"/>
      <c r="M79" s="300"/>
      <c r="N79" s="299"/>
      <c r="O79" s="300"/>
      <c r="P79" s="314"/>
    </row>
    <row r="80" spans="1:16" x14ac:dyDescent="0.25">
      <c r="A80" s="301"/>
      <c r="B80" s="301"/>
      <c r="C80" s="301"/>
      <c r="D80" s="299"/>
      <c r="E80" s="300"/>
      <c r="F80" s="299"/>
      <c r="G80" s="300"/>
      <c r="H80" s="299"/>
      <c r="I80" s="300"/>
      <c r="J80" s="299"/>
      <c r="K80" s="300"/>
      <c r="L80" s="299"/>
      <c r="M80" s="300"/>
      <c r="N80" s="299"/>
      <c r="O80" s="300"/>
      <c r="P80" s="314"/>
    </row>
    <row r="81" spans="1:16" x14ac:dyDescent="0.25">
      <c r="A81" s="301" t="s">
        <v>89</v>
      </c>
      <c r="B81" s="301"/>
      <c r="C81" s="301"/>
      <c r="D81" s="299"/>
      <c r="E81" s="300"/>
      <c r="F81" s="299"/>
      <c r="G81" s="300"/>
      <c r="H81" s="299"/>
      <c r="I81" s="300"/>
      <c r="J81" s="299"/>
      <c r="K81" s="300"/>
      <c r="L81" s="299"/>
      <c r="M81" s="300"/>
      <c r="N81" s="299"/>
      <c r="O81" s="300"/>
      <c r="P81" s="314"/>
    </row>
    <row r="82" spans="1:16" x14ac:dyDescent="0.25">
      <c r="C82" s="231"/>
      <c r="D82" s="231"/>
      <c r="E82" s="231"/>
    </row>
    <row r="83" spans="1:16" x14ac:dyDescent="0.25">
      <c r="C83" s="231"/>
      <c r="D83" s="231"/>
      <c r="E83" s="231"/>
    </row>
    <row r="84" spans="1:16" x14ac:dyDescent="0.25">
      <c r="C84" s="231"/>
      <c r="D84" s="231"/>
      <c r="E84" s="231"/>
    </row>
    <row r="85" spans="1:16" x14ac:dyDescent="0.25">
      <c r="C85" s="231"/>
      <c r="D85" s="231"/>
      <c r="E85" s="231"/>
    </row>
    <row r="86" spans="1:16" x14ac:dyDescent="0.25">
      <c r="C86" s="231"/>
      <c r="D86" s="231"/>
      <c r="E86" s="231"/>
    </row>
    <row r="87" spans="1:16" x14ac:dyDescent="0.25">
      <c r="C87" s="231"/>
      <c r="D87" s="231"/>
      <c r="E87" s="231"/>
    </row>
    <row r="88" spans="1:16" x14ac:dyDescent="0.25">
      <c r="C88" s="231"/>
      <c r="D88" s="231"/>
      <c r="E88" s="231"/>
    </row>
    <row r="89" spans="1:16" x14ac:dyDescent="0.25">
      <c r="C89" s="231"/>
      <c r="D89" s="231"/>
      <c r="E89" s="231"/>
    </row>
    <row r="90" spans="1:16" x14ac:dyDescent="0.25">
      <c r="C90" s="231"/>
      <c r="D90" s="231"/>
      <c r="E90" s="231"/>
    </row>
    <row r="91" spans="1:16" x14ac:dyDescent="0.25">
      <c r="C91" s="231"/>
      <c r="D91" s="231"/>
      <c r="E91" s="231"/>
    </row>
    <row r="92" spans="1:16" x14ac:dyDescent="0.25">
      <c r="C92" s="231"/>
      <c r="D92" s="231"/>
      <c r="E92" s="231"/>
    </row>
    <row r="93" spans="1:16" x14ac:dyDescent="0.25">
      <c r="C93" s="231"/>
      <c r="D93" s="231"/>
      <c r="E93" s="231"/>
    </row>
    <row r="94" spans="1:16" x14ac:dyDescent="0.25">
      <c r="C94" s="231"/>
      <c r="D94" s="231"/>
      <c r="E94" s="231"/>
    </row>
    <row r="95" spans="1:16" x14ac:dyDescent="0.25">
      <c r="C95" s="231"/>
      <c r="D95" s="231"/>
      <c r="E95" s="231"/>
    </row>
  </sheetData>
  <mergeCells count="327">
    <mergeCell ref="P3:P44"/>
    <mergeCell ref="A4:O4"/>
    <mergeCell ref="A5:O5"/>
    <mergeCell ref="A6:O6"/>
    <mergeCell ref="A7:O7"/>
    <mergeCell ref="A9:O9"/>
    <mergeCell ref="B11:C11"/>
    <mergeCell ref="D11:E11"/>
    <mergeCell ref="F11:G11"/>
    <mergeCell ref="H11:I11"/>
    <mergeCell ref="J11:K11"/>
    <mergeCell ref="L11:M11"/>
    <mergeCell ref="N11:O11"/>
    <mergeCell ref="N14:O14"/>
    <mergeCell ref="B15:C15"/>
    <mergeCell ref="D15:E15"/>
    <mergeCell ref="F15:G15"/>
    <mergeCell ref="H15:I15"/>
    <mergeCell ref="J15:K15"/>
    <mergeCell ref="L15:M15"/>
    <mergeCell ref="N15:O15"/>
    <mergeCell ref="B14:C14"/>
    <mergeCell ref="D14:E14"/>
    <mergeCell ref="F14:G14"/>
    <mergeCell ref="N1:O1"/>
    <mergeCell ref="N2:O2"/>
    <mergeCell ref="A3:O3"/>
    <mergeCell ref="N12:O12"/>
    <mergeCell ref="B13:C13"/>
    <mergeCell ref="D13:E13"/>
    <mergeCell ref="F13:G13"/>
    <mergeCell ref="H13:I13"/>
    <mergeCell ref="J13:K13"/>
    <mergeCell ref="L13:M13"/>
    <mergeCell ref="N13:O13"/>
    <mergeCell ref="B12:C12"/>
    <mergeCell ref="D12:E12"/>
    <mergeCell ref="F12:G12"/>
    <mergeCell ref="H12:I12"/>
    <mergeCell ref="J12:K12"/>
    <mergeCell ref="L12:M12"/>
    <mergeCell ref="H14:I14"/>
    <mergeCell ref="J14:K14"/>
    <mergeCell ref="L14:M14"/>
    <mergeCell ref="N16:O16"/>
    <mergeCell ref="B17:C17"/>
    <mergeCell ref="D17:E17"/>
    <mergeCell ref="F17:G17"/>
    <mergeCell ref="H17:I17"/>
    <mergeCell ref="J17:K17"/>
    <mergeCell ref="L17:M17"/>
    <mergeCell ref="N17:O17"/>
    <mergeCell ref="B16:C16"/>
    <mergeCell ref="D16:E16"/>
    <mergeCell ref="F16:G16"/>
    <mergeCell ref="H16:I16"/>
    <mergeCell ref="J16:K16"/>
    <mergeCell ref="L16:M16"/>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N22:O22"/>
    <mergeCell ref="B23:C23"/>
    <mergeCell ref="D23:E23"/>
    <mergeCell ref="F23:G23"/>
    <mergeCell ref="H23:I23"/>
    <mergeCell ref="J23:K23"/>
    <mergeCell ref="L23:M23"/>
    <mergeCell ref="N23:O23"/>
    <mergeCell ref="B22:C22"/>
    <mergeCell ref="D22:E22"/>
    <mergeCell ref="F22:G22"/>
    <mergeCell ref="H22:I22"/>
    <mergeCell ref="J22:K22"/>
    <mergeCell ref="L22:M22"/>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8:O28"/>
    <mergeCell ref="B29:C29"/>
    <mergeCell ref="D29:E29"/>
    <mergeCell ref="F29:G29"/>
    <mergeCell ref="H29:I29"/>
    <mergeCell ref="J29:K29"/>
    <mergeCell ref="L29:M29"/>
    <mergeCell ref="N29:O29"/>
    <mergeCell ref="B28:C28"/>
    <mergeCell ref="D28:E28"/>
    <mergeCell ref="F28:G28"/>
    <mergeCell ref="H28:I28"/>
    <mergeCell ref="J28:K28"/>
    <mergeCell ref="L28:M28"/>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 ref="B43:E43"/>
    <mergeCell ref="F43:O43"/>
    <mergeCell ref="B44:E44"/>
    <mergeCell ref="F44:O44"/>
    <mergeCell ref="M45:O45"/>
    <mergeCell ref="M46:O46"/>
    <mergeCell ref="A37:O37"/>
    <mergeCell ref="A39:O39"/>
    <mergeCell ref="B41:E41"/>
    <mergeCell ref="F41:O41"/>
    <mergeCell ref="B42:E42"/>
    <mergeCell ref="F42:O42"/>
    <mergeCell ref="A50:J50"/>
    <mergeCell ref="P50:P81"/>
    <mergeCell ref="A52:C53"/>
    <mergeCell ref="D52:F52"/>
    <mergeCell ref="G52:I52"/>
    <mergeCell ref="J52:L52"/>
    <mergeCell ref="M52:N52"/>
    <mergeCell ref="O52:O53"/>
    <mergeCell ref="A54:C54"/>
    <mergeCell ref="B61:C61"/>
    <mergeCell ref="D61:E61"/>
    <mergeCell ref="F61:G61"/>
    <mergeCell ref="H61:J61"/>
    <mergeCell ref="K61:L61"/>
    <mergeCell ref="M61:O61"/>
    <mergeCell ref="A55:C55"/>
    <mergeCell ref="A56:C56"/>
    <mergeCell ref="A57:C57"/>
    <mergeCell ref="A58:G58"/>
    <mergeCell ref="A59:O59"/>
    <mergeCell ref="B63:C63"/>
    <mergeCell ref="D63:E63"/>
    <mergeCell ref="F63:G63"/>
    <mergeCell ref="H63:J63"/>
    <mergeCell ref="K63:L63"/>
    <mergeCell ref="M63:O63"/>
    <mergeCell ref="B62:C62"/>
    <mergeCell ref="D62:E62"/>
    <mergeCell ref="F62:G62"/>
    <mergeCell ref="H62:J62"/>
    <mergeCell ref="K62:L62"/>
    <mergeCell ref="M62:O62"/>
    <mergeCell ref="B65:C65"/>
    <mergeCell ref="D65:E65"/>
    <mergeCell ref="F65:G65"/>
    <mergeCell ref="H65:J65"/>
    <mergeCell ref="K65:L65"/>
    <mergeCell ref="M65:O65"/>
    <mergeCell ref="B64:C64"/>
    <mergeCell ref="D64:E64"/>
    <mergeCell ref="F64:G64"/>
    <mergeCell ref="H64:J64"/>
    <mergeCell ref="K64:L64"/>
    <mergeCell ref="M64:O64"/>
    <mergeCell ref="A67:O67"/>
    <mergeCell ref="A69:C70"/>
    <mergeCell ref="D69:E70"/>
    <mergeCell ref="F69:I69"/>
    <mergeCell ref="J69:M69"/>
    <mergeCell ref="N69:O70"/>
    <mergeCell ref="F70:G70"/>
    <mergeCell ref="H70:I70"/>
    <mergeCell ref="J70:K70"/>
    <mergeCell ref="L70:M70"/>
    <mergeCell ref="N71:O71"/>
    <mergeCell ref="A72:C72"/>
    <mergeCell ref="D72:E72"/>
    <mergeCell ref="F72:G72"/>
    <mergeCell ref="H72:I72"/>
    <mergeCell ref="J72:K72"/>
    <mergeCell ref="L72:M72"/>
    <mergeCell ref="N72:O72"/>
    <mergeCell ref="A71:C71"/>
    <mergeCell ref="D71:E71"/>
    <mergeCell ref="F71:G71"/>
    <mergeCell ref="H71:I71"/>
    <mergeCell ref="J71:K71"/>
    <mergeCell ref="L71:M71"/>
    <mergeCell ref="N73:O73"/>
    <mergeCell ref="A74:C74"/>
    <mergeCell ref="D74:E74"/>
    <mergeCell ref="F74:G74"/>
    <mergeCell ref="H74:I74"/>
    <mergeCell ref="J74:K74"/>
    <mergeCell ref="L74:M74"/>
    <mergeCell ref="N74:O74"/>
    <mergeCell ref="A73:C73"/>
    <mergeCell ref="D73:E73"/>
    <mergeCell ref="F73:G73"/>
    <mergeCell ref="H73:I73"/>
    <mergeCell ref="J73:K73"/>
    <mergeCell ref="L73:M73"/>
    <mergeCell ref="N75:O75"/>
    <mergeCell ref="A76:C76"/>
    <mergeCell ref="D76:E76"/>
    <mergeCell ref="F76:G76"/>
    <mergeCell ref="H76:I76"/>
    <mergeCell ref="J76:K76"/>
    <mergeCell ref="L76:M76"/>
    <mergeCell ref="N76:O76"/>
    <mergeCell ref="A75:C75"/>
    <mergeCell ref="D75:E75"/>
    <mergeCell ref="F75:G75"/>
    <mergeCell ref="H75:I75"/>
    <mergeCell ref="J75:K75"/>
    <mergeCell ref="L75:M75"/>
    <mergeCell ref="N77:O77"/>
    <mergeCell ref="A78:C78"/>
    <mergeCell ref="D78:E78"/>
    <mergeCell ref="F78:G78"/>
    <mergeCell ref="H78:I78"/>
    <mergeCell ref="J78:K78"/>
    <mergeCell ref="L78:M78"/>
    <mergeCell ref="N78:O78"/>
    <mergeCell ref="A77:C77"/>
    <mergeCell ref="D77:E77"/>
    <mergeCell ref="F77:G77"/>
    <mergeCell ref="H77:I77"/>
    <mergeCell ref="J77:K77"/>
    <mergeCell ref="L77:M77"/>
    <mergeCell ref="N81:O81"/>
    <mergeCell ref="A81:C81"/>
    <mergeCell ref="D81:E81"/>
    <mergeCell ref="F81:G81"/>
    <mergeCell ref="H81:I81"/>
    <mergeCell ref="J81:K81"/>
    <mergeCell ref="L81:M81"/>
    <mergeCell ref="N79:O79"/>
    <mergeCell ref="A80:C80"/>
    <mergeCell ref="D80:E80"/>
    <mergeCell ref="F80:G80"/>
    <mergeCell ref="H80:I80"/>
    <mergeCell ref="J80:K80"/>
    <mergeCell ref="L80:M80"/>
    <mergeCell ref="N80:O80"/>
    <mergeCell ref="A79:C79"/>
    <mergeCell ref="D79:E79"/>
    <mergeCell ref="F79:G79"/>
    <mergeCell ref="H79:I79"/>
    <mergeCell ref="J79:K79"/>
    <mergeCell ref="L79:M79"/>
  </mergeCells>
  <pageMargins left="0.25" right="0.25" top="0.75" bottom="0.75" header="0.3" footer="0.3"/>
  <pageSetup paperSize="9" scale="3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2"/>
  <sheetViews>
    <sheetView topLeftCell="A3" zoomScaleNormal="100" workbookViewId="0">
      <selection activeCell="L39" sqref="L39:M40"/>
    </sheetView>
  </sheetViews>
  <sheetFormatPr defaultColWidth="8" defaultRowHeight="15" outlineLevelRow="1" x14ac:dyDescent="0.25"/>
  <cols>
    <col min="1" max="1" width="5.7109375" style="105" customWidth="1"/>
    <col min="2" max="2" width="8" style="105"/>
    <col min="3" max="3" width="5.7109375" style="105" customWidth="1"/>
    <col min="4" max="4" width="8" style="105"/>
    <col min="5" max="5" width="5.85546875" style="105" customWidth="1"/>
    <col min="6" max="6" width="1.42578125" style="105" hidden="1" customWidth="1"/>
    <col min="7" max="7" width="9.28515625" style="105" customWidth="1"/>
    <col min="8" max="8" width="8" style="105"/>
    <col min="9" max="9" width="7.85546875" style="105" customWidth="1"/>
    <col min="10" max="10" width="8" style="105" customWidth="1"/>
    <col min="11" max="11" width="7.5703125" style="105" customWidth="1"/>
    <col min="12" max="12" width="8" style="105" customWidth="1"/>
    <col min="13" max="13" width="10.42578125" style="105" customWidth="1"/>
    <col min="14" max="14" width="8.140625" style="105" bestFit="1" customWidth="1"/>
    <col min="15" max="16" width="8.140625" style="105" customWidth="1"/>
    <col min="17" max="17" width="11.28515625" style="105" customWidth="1"/>
    <col min="18" max="19" width="8.140625" style="105" bestFit="1" customWidth="1"/>
    <col min="20" max="20" width="8.140625" style="105" customWidth="1"/>
    <col min="21" max="22" width="8.140625" style="105" bestFit="1" customWidth="1"/>
    <col min="23" max="23" width="8.140625" style="105" customWidth="1"/>
    <col min="24" max="24" width="11" style="105" bestFit="1" customWidth="1"/>
    <col min="25" max="25" width="11.28515625" style="105" customWidth="1"/>
    <col min="26" max="26" width="8.140625" style="105" customWidth="1"/>
    <col min="27" max="27" width="8.140625" style="105" bestFit="1" customWidth="1"/>
    <col min="28" max="28" width="11.28515625" style="105" bestFit="1" customWidth="1"/>
    <col min="29" max="29" width="11.28515625" style="105" customWidth="1"/>
    <col min="30" max="30" width="7.28515625" style="105" customWidth="1"/>
    <col min="31" max="31" width="8.5703125" style="105" bestFit="1" customWidth="1"/>
    <col min="32" max="32" width="11" style="105" bestFit="1" customWidth="1"/>
    <col min="33" max="16384" width="8" style="105"/>
  </cols>
  <sheetData>
    <row r="1" spans="1:33" ht="18.75" hidden="1" customHeight="1" outlineLevel="1" x14ac:dyDescent="0.25">
      <c r="A1" s="104"/>
      <c r="B1" s="104"/>
      <c r="C1" s="104"/>
      <c r="D1" s="104"/>
      <c r="E1" s="104"/>
      <c r="F1" s="104"/>
      <c r="G1" s="104"/>
      <c r="H1" s="104"/>
      <c r="I1" s="104"/>
      <c r="J1" s="104"/>
      <c r="K1" s="104"/>
      <c r="L1" s="104"/>
      <c r="M1" s="104"/>
      <c r="N1" s="104"/>
      <c r="O1" s="104"/>
      <c r="P1" s="104"/>
      <c r="R1" s="214"/>
      <c r="S1" s="214"/>
      <c r="T1" s="214"/>
      <c r="U1" s="214"/>
      <c r="V1" s="214"/>
      <c r="AD1" s="415" t="s">
        <v>0</v>
      </c>
      <c r="AE1" s="415"/>
      <c r="AF1" s="415"/>
    </row>
    <row r="2" spans="1:33" ht="18.75" hidden="1" customHeight="1" outlineLevel="1" x14ac:dyDescent="0.25">
      <c r="A2" s="104"/>
      <c r="B2" s="104"/>
      <c r="C2" s="104"/>
      <c r="D2" s="104"/>
      <c r="E2" s="104"/>
      <c r="F2" s="104"/>
      <c r="G2" s="104"/>
      <c r="H2" s="104"/>
      <c r="I2" s="104"/>
      <c r="J2" s="104"/>
      <c r="K2" s="104"/>
      <c r="L2" s="104"/>
      <c r="M2" s="104"/>
      <c r="N2" s="104"/>
      <c r="O2" s="104"/>
      <c r="P2" s="104"/>
      <c r="R2" s="214"/>
      <c r="S2" s="214"/>
      <c r="T2" s="214"/>
      <c r="U2" s="214"/>
      <c r="V2" s="214"/>
      <c r="AD2" s="415"/>
      <c r="AE2" s="415"/>
      <c r="AF2" s="415"/>
    </row>
    <row r="3" spans="1:33" ht="18.75" customHeight="1" collapsed="1" x14ac:dyDescent="0.25">
      <c r="C3" s="106" t="s">
        <v>384</v>
      </c>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416">
        <v>39</v>
      </c>
    </row>
    <row r="4" spans="1:33" x14ac:dyDescent="0.2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416"/>
    </row>
    <row r="5" spans="1:33" ht="27.75" customHeight="1" x14ac:dyDescent="0.25">
      <c r="A5" s="380" t="s">
        <v>385</v>
      </c>
      <c r="B5" s="383" t="s">
        <v>386</v>
      </c>
      <c r="C5" s="385"/>
      <c r="D5" s="368" t="s">
        <v>387</v>
      </c>
      <c r="E5" s="417"/>
      <c r="F5" s="417"/>
      <c r="G5" s="362" t="s">
        <v>388</v>
      </c>
      <c r="H5" s="362"/>
      <c r="I5" s="362"/>
      <c r="J5" s="362"/>
      <c r="K5" s="362"/>
      <c r="L5" s="362"/>
      <c r="M5" s="362"/>
      <c r="N5" s="368" t="s">
        <v>389</v>
      </c>
      <c r="O5" s="417"/>
      <c r="P5" s="417"/>
      <c r="Q5" s="369"/>
      <c r="R5" s="419" t="s">
        <v>390</v>
      </c>
      <c r="S5" s="420"/>
      <c r="T5" s="420"/>
      <c r="U5" s="420"/>
      <c r="V5" s="420"/>
      <c r="W5" s="420"/>
      <c r="X5" s="420"/>
      <c r="Y5" s="420"/>
      <c r="Z5" s="420"/>
      <c r="AA5" s="420"/>
      <c r="AB5" s="420"/>
      <c r="AC5" s="420"/>
      <c r="AD5" s="420"/>
      <c r="AE5" s="420"/>
      <c r="AF5" s="421"/>
      <c r="AG5" s="416"/>
    </row>
    <row r="6" spans="1:33" ht="48.75" customHeight="1" x14ac:dyDescent="0.25">
      <c r="A6" s="382"/>
      <c r="B6" s="389"/>
      <c r="C6" s="391"/>
      <c r="D6" s="372"/>
      <c r="E6" s="418"/>
      <c r="F6" s="418"/>
      <c r="G6" s="362"/>
      <c r="H6" s="362"/>
      <c r="I6" s="362"/>
      <c r="J6" s="362"/>
      <c r="K6" s="362"/>
      <c r="L6" s="362"/>
      <c r="M6" s="362"/>
      <c r="N6" s="372"/>
      <c r="O6" s="418"/>
      <c r="P6" s="418"/>
      <c r="Q6" s="373"/>
      <c r="R6" s="360" t="s">
        <v>391</v>
      </c>
      <c r="S6" s="422"/>
      <c r="T6" s="361"/>
      <c r="U6" s="360" t="s">
        <v>392</v>
      </c>
      <c r="V6" s="422"/>
      <c r="W6" s="361"/>
      <c r="X6" s="360" t="s">
        <v>17</v>
      </c>
      <c r="Y6" s="422"/>
      <c r="Z6" s="361"/>
      <c r="AA6" s="419" t="s">
        <v>393</v>
      </c>
      <c r="AB6" s="420"/>
      <c r="AC6" s="421"/>
      <c r="AD6" s="419" t="s">
        <v>394</v>
      </c>
      <c r="AE6" s="420"/>
      <c r="AF6" s="421"/>
      <c r="AG6" s="416"/>
    </row>
    <row r="7" spans="1:33" ht="18.75" customHeight="1" x14ac:dyDescent="0.25">
      <c r="A7" s="109">
        <v>1</v>
      </c>
      <c r="B7" s="401">
        <v>2</v>
      </c>
      <c r="C7" s="402"/>
      <c r="D7" s="360">
        <v>3</v>
      </c>
      <c r="E7" s="422"/>
      <c r="F7" s="422"/>
      <c r="G7" s="362">
        <v>4</v>
      </c>
      <c r="H7" s="362"/>
      <c r="I7" s="362"/>
      <c r="J7" s="362"/>
      <c r="K7" s="362"/>
      <c r="L7" s="362"/>
      <c r="M7" s="362"/>
      <c r="N7" s="360">
        <v>5</v>
      </c>
      <c r="O7" s="422"/>
      <c r="P7" s="422"/>
      <c r="Q7" s="361"/>
      <c r="R7" s="360">
        <v>6</v>
      </c>
      <c r="S7" s="422"/>
      <c r="T7" s="361"/>
      <c r="U7" s="360">
        <v>7</v>
      </c>
      <c r="V7" s="422"/>
      <c r="W7" s="361"/>
      <c r="X7" s="419">
        <v>8</v>
      </c>
      <c r="Y7" s="420"/>
      <c r="Z7" s="421"/>
      <c r="AA7" s="419">
        <v>9</v>
      </c>
      <c r="AB7" s="420"/>
      <c r="AC7" s="421"/>
      <c r="AD7" s="419">
        <v>10</v>
      </c>
      <c r="AE7" s="420"/>
      <c r="AF7" s="421"/>
      <c r="AG7" s="416"/>
    </row>
    <row r="8" spans="1:33" ht="30.75" hidden="1" customHeight="1" x14ac:dyDescent="0.25">
      <c r="A8" s="109">
        <v>1</v>
      </c>
      <c r="B8" s="413" t="s">
        <v>419</v>
      </c>
      <c r="C8" s="414"/>
      <c r="D8" s="404">
        <v>2008</v>
      </c>
      <c r="E8" s="405"/>
      <c r="F8" s="405"/>
      <c r="G8" s="359" t="s">
        <v>420</v>
      </c>
      <c r="H8" s="359"/>
      <c r="I8" s="359"/>
      <c r="J8" s="359"/>
      <c r="K8" s="359"/>
      <c r="L8" s="359"/>
      <c r="M8" s="359"/>
      <c r="N8" s="406">
        <f>SUM(R8:AF8)</f>
        <v>0</v>
      </c>
      <c r="O8" s="407"/>
      <c r="P8" s="407"/>
      <c r="Q8" s="408"/>
      <c r="R8" s="406">
        <v>0</v>
      </c>
      <c r="S8" s="407"/>
      <c r="T8" s="408"/>
      <c r="U8" s="355"/>
      <c r="V8" s="409"/>
      <c r="W8" s="356"/>
      <c r="X8" s="355"/>
      <c r="Y8" s="409"/>
      <c r="Z8" s="356"/>
      <c r="AA8" s="355"/>
      <c r="AB8" s="409"/>
      <c r="AC8" s="356"/>
      <c r="AD8" s="406">
        <v>0</v>
      </c>
      <c r="AE8" s="407"/>
      <c r="AF8" s="408"/>
      <c r="AG8" s="416"/>
    </row>
    <row r="9" spans="1:33" ht="27" customHeight="1" x14ac:dyDescent="0.25">
      <c r="A9" s="109">
        <v>2</v>
      </c>
      <c r="B9" s="413" t="s">
        <v>421</v>
      </c>
      <c r="C9" s="414"/>
      <c r="D9" s="404">
        <v>2015</v>
      </c>
      <c r="E9" s="405"/>
      <c r="F9" s="405"/>
      <c r="G9" s="359" t="s">
        <v>420</v>
      </c>
      <c r="H9" s="359"/>
      <c r="I9" s="359"/>
      <c r="J9" s="359"/>
      <c r="K9" s="359"/>
      <c r="L9" s="359"/>
      <c r="M9" s="359"/>
      <c r="N9" s="406">
        <f>SUM(R9:AF9)</f>
        <v>69</v>
      </c>
      <c r="O9" s="407"/>
      <c r="P9" s="407"/>
      <c r="Q9" s="408"/>
      <c r="R9" s="406">
        <v>58</v>
      </c>
      <c r="S9" s="407"/>
      <c r="T9" s="408"/>
      <c r="U9" s="406"/>
      <c r="V9" s="407"/>
      <c r="W9" s="408"/>
      <c r="X9" s="355"/>
      <c r="Y9" s="409"/>
      <c r="Z9" s="356"/>
      <c r="AA9" s="355"/>
      <c r="AB9" s="409"/>
      <c r="AC9" s="356"/>
      <c r="AD9" s="406">
        <v>11</v>
      </c>
      <c r="AE9" s="407"/>
      <c r="AF9" s="408"/>
      <c r="AG9" s="416"/>
    </row>
    <row r="10" spans="1:33" ht="24.95" customHeight="1" x14ac:dyDescent="0.25">
      <c r="A10" s="410" t="s">
        <v>89</v>
      </c>
      <c r="B10" s="411"/>
      <c r="C10" s="411"/>
      <c r="D10" s="411"/>
      <c r="E10" s="411"/>
      <c r="F10" s="411"/>
      <c r="G10" s="411"/>
      <c r="H10" s="411"/>
      <c r="I10" s="411"/>
      <c r="J10" s="411"/>
      <c r="K10" s="411"/>
      <c r="L10" s="411"/>
      <c r="M10" s="412"/>
      <c r="N10" s="406">
        <f>SUM(N8:N9)</f>
        <v>69</v>
      </c>
      <c r="O10" s="407"/>
      <c r="P10" s="407"/>
      <c r="Q10" s="408"/>
      <c r="R10" s="406">
        <f>SUM(R8:R9)</f>
        <v>58</v>
      </c>
      <c r="S10" s="407"/>
      <c r="T10" s="408"/>
      <c r="U10" s="406"/>
      <c r="V10" s="407"/>
      <c r="W10" s="408"/>
      <c r="X10" s="406"/>
      <c r="Y10" s="407"/>
      <c r="Z10" s="408"/>
      <c r="AA10" s="406"/>
      <c r="AB10" s="407"/>
      <c r="AC10" s="408"/>
      <c r="AD10" s="406">
        <f>SUM(AD8:AF9)</f>
        <v>11</v>
      </c>
      <c r="AE10" s="407"/>
      <c r="AF10" s="408"/>
      <c r="AG10" s="416"/>
    </row>
    <row r="11" spans="1:33" ht="11.25" customHeight="1" x14ac:dyDescent="0.25">
      <c r="A11" s="110"/>
      <c r="B11" s="110"/>
      <c r="C11" s="110"/>
      <c r="D11" s="110"/>
      <c r="E11" s="110"/>
      <c r="F11" s="110"/>
      <c r="G11" s="110"/>
      <c r="H11" s="110"/>
      <c r="I11" s="110"/>
      <c r="J11" s="110"/>
      <c r="K11" s="110"/>
      <c r="L11" s="110"/>
      <c r="M11" s="110"/>
      <c r="N11" s="111"/>
      <c r="O11" s="111"/>
      <c r="P11" s="111"/>
      <c r="Q11" s="111"/>
      <c r="R11" s="111"/>
      <c r="S11" s="111"/>
      <c r="T11" s="111"/>
      <c r="U11" s="111"/>
      <c r="V11" s="111"/>
      <c r="W11" s="111"/>
      <c r="X11" s="111"/>
      <c r="Y11" s="111"/>
      <c r="Z11" s="111"/>
      <c r="AA11" s="111"/>
      <c r="AB11" s="111"/>
      <c r="AC11" s="111"/>
      <c r="AD11" s="111"/>
      <c r="AE11" s="112"/>
      <c r="AF11" s="112"/>
      <c r="AG11" s="416"/>
    </row>
    <row r="12" spans="1:33" ht="10.5" customHeight="1" x14ac:dyDescent="0.25">
      <c r="A12" s="113"/>
      <c r="B12" s="113"/>
      <c r="C12" s="113"/>
      <c r="D12" s="113"/>
      <c r="E12" s="113"/>
      <c r="F12" s="113"/>
      <c r="G12" s="113"/>
      <c r="H12" s="113"/>
      <c r="I12" s="113"/>
      <c r="J12" s="113"/>
      <c r="K12" s="113"/>
      <c r="L12" s="113"/>
      <c r="M12" s="113"/>
      <c r="N12" s="114"/>
      <c r="O12" s="114"/>
      <c r="P12" s="114"/>
      <c r="Q12" s="114"/>
      <c r="R12" s="115"/>
      <c r="S12" s="115"/>
      <c r="T12" s="115"/>
      <c r="U12" s="115"/>
      <c r="V12" s="115"/>
      <c r="W12" s="115"/>
      <c r="X12" s="116"/>
      <c r="Y12" s="116"/>
      <c r="Z12" s="116"/>
      <c r="AA12" s="116"/>
      <c r="AB12" s="116"/>
      <c r="AC12" s="116"/>
      <c r="AD12" s="116"/>
      <c r="AE12" s="117"/>
      <c r="AF12" s="117"/>
      <c r="AG12" s="416"/>
    </row>
    <row r="13" spans="1:33" s="106" customFormat="1" ht="18.75" customHeight="1" x14ac:dyDescent="0.25">
      <c r="C13" s="106" t="s">
        <v>395</v>
      </c>
      <c r="AG13" s="416"/>
    </row>
    <row r="14" spans="1:33" s="106" customFormat="1" ht="18.75" customHeight="1" x14ac:dyDescent="0.25">
      <c r="AG14" s="416"/>
    </row>
    <row r="15" spans="1:33" ht="29.25" customHeight="1" x14ac:dyDescent="0.25">
      <c r="A15" s="403" t="s">
        <v>385</v>
      </c>
      <c r="B15" s="383" t="s">
        <v>396</v>
      </c>
      <c r="C15" s="385"/>
      <c r="D15" s="362" t="s">
        <v>386</v>
      </c>
      <c r="E15" s="362"/>
      <c r="F15" s="362"/>
      <c r="G15" s="362"/>
      <c r="H15" s="362" t="s">
        <v>388</v>
      </c>
      <c r="I15" s="362"/>
      <c r="J15" s="362"/>
      <c r="K15" s="362"/>
      <c r="L15" s="362"/>
      <c r="M15" s="362"/>
      <c r="N15" s="362"/>
      <c r="O15" s="362"/>
      <c r="P15" s="362"/>
      <c r="Q15" s="362"/>
      <c r="R15" s="362" t="s">
        <v>397</v>
      </c>
      <c r="S15" s="362"/>
      <c r="T15" s="362"/>
      <c r="U15" s="362"/>
      <c r="V15" s="362"/>
      <c r="W15" s="363" t="s">
        <v>422</v>
      </c>
      <c r="X15" s="363"/>
      <c r="Y15" s="363"/>
      <c r="Z15" s="363"/>
      <c r="AA15" s="363"/>
      <c r="AB15" s="363"/>
      <c r="AC15" s="363"/>
      <c r="AD15" s="363"/>
      <c r="AE15" s="363"/>
      <c r="AF15" s="363"/>
      <c r="AG15" s="416"/>
    </row>
    <row r="16" spans="1:33" ht="24.95" customHeight="1" x14ac:dyDescent="0.25">
      <c r="A16" s="403"/>
      <c r="B16" s="386"/>
      <c r="C16" s="388"/>
      <c r="D16" s="362"/>
      <c r="E16" s="362"/>
      <c r="F16" s="362"/>
      <c r="G16" s="362"/>
      <c r="H16" s="362"/>
      <c r="I16" s="362"/>
      <c r="J16" s="362"/>
      <c r="K16" s="362"/>
      <c r="L16" s="362"/>
      <c r="M16" s="362"/>
      <c r="N16" s="362"/>
      <c r="O16" s="362"/>
      <c r="P16" s="362"/>
      <c r="Q16" s="362"/>
      <c r="R16" s="362"/>
      <c r="S16" s="362"/>
      <c r="T16" s="362"/>
      <c r="U16" s="362"/>
      <c r="V16" s="362"/>
      <c r="W16" s="363" t="s">
        <v>423</v>
      </c>
      <c r="X16" s="363"/>
      <c r="Y16" s="368" t="s">
        <v>378</v>
      </c>
      <c r="Z16" s="369"/>
      <c r="AA16" s="368" t="s">
        <v>100</v>
      </c>
      <c r="AB16" s="369"/>
      <c r="AC16" s="368" t="s">
        <v>7</v>
      </c>
      <c r="AD16" s="369"/>
      <c r="AE16" s="368" t="s">
        <v>8</v>
      </c>
      <c r="AF16" s="369"/>
      <c r="AG16" s="416"/>
    </row>
    <row r="17" spans="1:33" ht="24.95" customHeight="1" x14ac:dyDescent="0.25">
      <c r="A17" s="403"/>
      <c r="B17" s="389"/>
      <c r="C17" s="391"/>
      <c r="D17" s="362"/>
      <c r="E17" s="362"/>
      <c r="F17" s="362"/>
      <c r="G17" s="362"/>
      <c r="H17" s="362"/>
      <c r="I17" s="362"/>
      <c r="J17" s="362"/>
      <c r="K17" s="362"/>
      <c r="L17" s="362"/>
      <c r="M17" s="362"/>
      <c r="N17" s="362"/>
      <c r="O17" s="362"/>
      <c r="P17" s="362"/>
      <c r="Q17" s="362"/>
      <c r="R17" s="362"/>
      <c r="S17" s="362"/>
      <c r="T17" s="362"/>
      <c r="U17" s="362"/>
      <c r="V17" s="362"/>
      <c r="W17" s="363"/>
      <c r="X17" s="363"/>
      <c r="Y17" s="372"/>
      <c r="Z17" s="373"/>
      <c r="AA17" s="372"/>
      <c r="AB17" s="373"/>
      <c r="AC17" s="372"/>
      <c r="AD17" s="373"/>
      <c r="AE17" s="372"/>
      <c r="AF17" s="373"/>
      <c r="AG17" s="416"/>
    </row>
    <row r="18" spans="1:33" ht="18.75" customHeight="1" x14ac:dyDescent="0.25">
      <c r="A18" s="118">
        <v>1</v>
      </c>
      <c r="B18" s="401">
        <v>2</v>
      </c>
      <c r="C18" s="402"/>
      <c r="D18" s="362">
        <v>3</v>
      </c>
      <c r="E18" s="362"/>
      <c r="F18" s="362"/>
      <c r="G18" s="362"/>
      <c r="H18" s="362">
        <v>4</v>
      </c>
      <c r="I18" s="362"/>
      <c r="J18" s="362"/>
      <c r="K18" s="362"/>
      <c r="L18" s="362"/>
      <c r="M18" s="362"/>
      <c r="N18" s="362"/>
      <c r="O18" s="362"/>
      <c r="P18" s="362"/>
      <c r="Q18" s="362"/>
      <c r="R18" s="362">
        <v>5</v>
      </c>
      <c r="S18" s="362"/>
      <c r="T18" s="362"/>
      <c r="U18" s="362"/>
      <c r="V18" s="362"/>
      <c r="W18" s="362">
        <v>6</v>
      </c>
      <c r="X18" s="362"/>
      <c r="Y18" s="363">
        <v>7</v>
      </c>
      <c r="Z18" s="363"/>
      <c r="AA18" s="363">
        <v>8</v>
      </c>
      <c r="AB18" s="363"/>
      <c r="AC18" s="363">
        <v>9</v>
      </c>
      <c r="AD18" s="363"/>
      <c r="AE18" s="363">
        <v>10</v>
      </c>
      <c r="AF18" s="363"/>
      <c r="AG18" s="416"/>
    </row>
    <row r="19" spans="1:33" ht="20.100000000000001" customHeight="1" x14ac:dyDescent="0.25">
      <c r="A19" s="119"/>
      <c r="B19" s="397"/>
      <c r="C19" s="398"/>
      <c r="D19" s="359"/>
      <c r="E19" s="359"/>
      <c r="F19" s="359"/>
      <c r="G19" s="359"/>
      <c r="H19" s="399"/>
      <c r="I19" s="399"/>
      <c r="J19" s="399"/>
      <c r="K19" s="399"/>
      <c r="L19" s="399"/>
      <c r="M19" s="399"/>
      <c r="N19" s="399"/>
      <c r="O19" s="399"/>
      <c r="P19" s="399"/>
      <c r="Q19" s="399"/>
      <c r="R19" s="400"/>
      <c r="S19" s="400"/>
      <c r="T19" s="400"/>
      <c r="U19" s="400"/>
      <c r="V19" s="400"/>
      <c r="W19" s="347"/>
      <c r="X19" s="347"/>
      <c r="Y19" s="347"/>
      <c r="Z19" s="347"/>
      <c r="AA19" s="347"/>
      <c r="AB19" s="347"/>
      <c r="AC19" s="347"/>
      <c r="AD19" s="347"/>
      <c r="AE19" s="396"/>
      <c r="AF19" s="396"/>
      <c r="AG19" s="416"/>
    </row>
    <row r="20" spans="1:33" ht="24.95" customHeight="1" x14ac:dyDescent="0.25">
      <c r="A20" s="395" t="s">
        <v>89</v>
      </c>
      <c r="B20" s="395"/>
      <c r="C20" s="395"/>
      <c r="D20" s="395"/>
      <c r="E20" s="395"/>
      <c r="F20" s="395"/>
      <c r="G20" s="395"/>
      <c r="H20" s="395"/>
      <c r="I20" s="395"/>
      <c r="J20" s="395"/>
      <c r="K20" s="395"/>
      <c r="L20" s="395"/>
      <c r="M20" s="395"/>
      <c r="N20" s="395"/>
      <c r="O20" s="395"/>
      <c r="P20" s="395"/>
      <c r="Q20" s="395"/>
      <c r="R20" s="395"/>
      <c r="S20" s="395"/>
      <c r="T20" s="395"/>
      <c r="U20" s="395"/>
      <c r="V20" s="395"/>
      <c r="W20" s="347"/>
      <c r="X20" s="347"/>
      <c r="Y20" s="347"/>
      <c r="Z20" s="347"/>
      <c r="AA20" s="347"/>
      <c r="AB20" s="347"/>
      <c r="AC20" s="347"/>
      <c r="AD20" s="347"/>
      <c r="AE20" s="396"/>
      <c r="AF20" s="396"/>
      <c r="AG20" s="416"/>
    </row>
    <row r="21" spans="1:33" x14ac:dyDescent="0.25">
      <c r="A21" s="104"/>
      <c r="B21" s="104"/>
      <c r="C21" s="104"/>
      <c r="D21" s="104"/>
      <c r="E21" s="104"/>
      <c r="F21" s="104"/>
      <c r="G21" s="104"/>
      <c r="H21" s="104"/>
      <c r="I21" s="104"/>
      <c r="J21" s="104"/>
      <c r="K21" s="104"/>
      <c r="L21" s="104"/>
      <c r="M21" s="104"/>
      <c r="N21" s="104"/>
      <c r="O21" s="104"/>
      <c r="P21" s="104"/>
      <c r="R21" s="214"/>
      <c r="S21" s="214"/>
      <c r="T21" s="214"/>
      <c r="U21" s="214"/>
      <c r="V21" s="214"/>
      <c r="AF21" s="214"/>
      <c r="AG21" s="416"/>
    </row>
    <row r="22" spans="1:33" ht="16.5" customHeight="1" x14ac:dyDescent="0.25">
      <c r="A22" s="104"/>
      <c r="B22" s="104"/>
      <c r="C22" s="104"/>
      <c r="D22" s="104"/>
      <c r="E22" s="104"/>
      <c r="F22" s="104"/>
      <c r="G22" s="104"/>
      <c r="H22" s="104"/>
      <c r="I22" s="104"/>
      <c r="J22" s="104"/>
      <c r="K22" s="104"/>
      <c r="L22" s="104"/>
      <c r="M22" s="104"/>
      <c r="N22" s="104"/>
      <c r="O22" s="104"/>
      <c r="P22" s="104"/>
      <c r="R22" s="214"/>
      <c r="S22" s="214"/>
      <c r="T22" s="214"/>
      <c r="U22" s="214"/>
      <c r="V22" s="214"/>
      <c r="AF22" s="214"/>
      <c r="AG22" s="416"/>
    </row>
    <row r="23" spans="1:33" s="106" customFormat="1" ht="18.75" customHeight="1" x14ac:dyDescent="0.25">
      <c r="C23" s="106" t="s">
        <v>398</v>
      </c>
      <c r="AG23" s="416"/>
    </row>
    <row r="24" spans="1:33" x14ac:dyDescent="0.25">
      <c r="A24" s="120"/>
      <c r="B24" s="120"/>
      <c r="C24" s="120"/>
      <c r="D24" s="120"/>
      <c r="E24" s="120"/>
      <c r="F24" s="120"/>
      <c r="G24" s="120"/>
      <c r="H24" s="120"/>
      <c r="I24" s="121"/>
      <c r="J24" s="121"/>
      <c r="K24" s="213"/>
      <c r="L24" s="213"/>
      <c r="M24" s="213"/>
      <c r="N24" s="213"/>
      <c r="O24" s="213"/>
      <c r="P24" s="213"/>
      <c r="Q24" s="213"/>
      <c r="R24" s="213"/>
      <c r="S24" s="213"/>
      <c r="T24" s="213"/>
      <c r="U24" s="213"/>
      <c r="V24" s="213"/>
      <c r="W24" s="120"/>
      <c r="Z24" s="379"/>
      <c r="AA24" s="379"/>
      <c r="AB24" s="379"/>
      <c r="AD24" s="379" t="s">
        <v>399</v>
      </c>
      <c r="AE24" s="379"/>
      <c r="AF24" s="379"/>
      <c r="AG24" s="416"/>
    </row>
    <row r="25" spans="1:33" ht="35.25" customHeight="1" x14ac:dyDescent="0.25">
      <c r="A25" s="380" t="s">
        <v>385</v>
      </c>
      <c r="B25" s="383" t="s">
        <v>400</v>
      </c>
      <c r="C25" s="384"/>
      <c r="D25" s="384"/>
      <c r="E25" s="384"/>
      <c r="F25" s="384"/>
      <c r="G25" s="384"/>
      <c r="H25" s="384"/>
      <c r="I25" s="384"/>
      <c r="J25" s="384"/>
      <c r="K25" s="384"/>
      <c r="L25" s="385"/>
      <c r="M25" s="392" t="s">
        <v>401</v>
      </c>
      <c r="N25" s="393"/>
      <c r="O25" s="393"/>
      <c r="P25" s="394"/>
      <c r="Q25" s="392" t="s">
        <v>402</v>
      </c>
      <c r="R25" s="393"/>
      <c r="S25" s="393"/>
      <c r="T25" s="394"/>
      <c r="U25" s="392" t="s">
        <v>467</v>
      </c>
      <c r="V25" s="393"/>
      <c r="W25" s="393"/>
      <c r="X25" s="394"/>
      <c r="Y25" s="392" t="s">
        <v>433</v>
      </c>
      <c r="Z25" s="393"/>
      <c r="AA25" s="393"/>
      <c r="AB25" s="394"/>
      <c r="AC25" s="392" t="s">
        <v>89</v>
      </c>
      <c r="AD25" s="393"/>
      <c r="AE25" s="393"/>
      <c r="AF25" s="394"/>
      <c r="AG25" s="416"/>
    </row>
    <row r="26" spans="1:33" ht="24.95" customHeight="1" x14ac:dyDescent="0.25">
      <c r="A26" s="381"/>
      <c r="B26" s="386"/>
      <c r="C26" s="387"/>
      <c r="D26" s="387"/>
      <c r="E26" s="387"/>
      <c r="F26" s="387"/>
      <c r="G26" s="387"/>
      <c r="H26" s="387"/>
      <c r="I26" s="387"/>
      <c r="J26" s="387"/>
      <c r="K26" s="387"/>
      <c r="L26" s="388"/>
      <c r="M26" s="377" t="s">
        <v>378</v>
      </c>
      <c r="N26" s="377" t="s">
        <v>100</v>
      </c>
      <c r="O26" s="377" t="s">
        <v>7</v>
      </c>
      <c r="P26" s="377" t="s">
        <v>8</v>
      </c>
      <c r="Q26" s="377" t="s">
        <v>378</v>
      </c>
      <c r="R26" s="377" t="s">
        <v>100</v>
      </c>
      <c r="S26" s="377" t="s">
        <v>7</v>
      </c>
      <c r="T26" s="377" t="s">
        <v>8</v>
      </c>
      <c r="U26" s="377" t="s">
        <v>378</v>
      </c>
      <c r="V26" s="377" t="s">
        <v>100</v>
      </c>
      <c r="W26" s="377" t="s">
        <v>7</v>
      </c>
      <c r="X26" s="377" t="s">
        <v>8</v>
      </c>
      <c r="Y26" s="377" t="s">
        <v>378</v>
      </c>
      <c r="Z26" s="377" t="s">
        <v>100</v>
      </c>
      <c r="AA26" s="377" t="s">
        <v>7</v>
      </c>
      <c r="AB26" s="377" t="s">
        <v>8</v>
      </c>
      <c r="AC26" s="377" t="s">
        <v>378</v>
      </c>
      <c r="AD26" s="377" t="s">
        <v>100</v>
      </c>
      <c r="AE26" s="377" t="s">
        <v>7</v>
      </c>
      <c r="AF26" s="377" t="s">
        <v>8</v>
      </c>
      <c r="AG26" s="416"/>
    </row>
    <row r="27" spans="1:33" ht="24.95" customHeight="1" x14ac:dyDescent="0.25">
      <c r="A27" s="382"/>
      <c r="B27" s="389"/>
      <c r="C27" s="390"/>
      <c r="D27" s="390"/>
      <c r="E27" s="390"/>
      <c r="F27" s="390"/>
      <c r="G27" s="390"/>
      <c r="H27" s="390"/>
      <c r="I27" s="390"/>
      <c r="J27" s="390"/>
      <c r="K27" s="390"/>
      <c r="L27" s="391"/>
      <c r="M27" s="378"/>
      <c r="N27" s="378"/>
      <c r="O27" s="378"/>
      <c r="P27" s="378"/>
      <c r="Q27" s="378"/>
      <c r="R27" s="378"/>
      <c r="S27" s="378"/>
      <c r="T27" s="378"/>
      <c r="U27" s="378"/>
      <c r="V27" s="378"/>
      <c r="W27" s="378"/>
      <c r="X27" s="378"/>
      <c r="Y27" s="378"/>
      <c r="Z27" s="378"/>
      <c r="AA27" s="378"/>
      <c r="AB27" s="378"/>
      <c r="AC27" s="378"/>
      <c r="AD27" s="378"/>
      <c r="AE27" s="378"/>
      <c r="AF27" s="378"/>
      <c r="AG27" s="416"/>
    </row>
    <row r="28" spans="1:33" ht="18.75" customHeight="1" x14ac:dyDescent="0.25">
      <c r="A28" s="119">
        <v>1</v>
      </c>
      <c r="B28" s="375">
        <v>2</v>
      </c>
      <c r="C28" s="375"/>
      <c r="D28" s="375"/>
      <c r="E28" s="375"/>
      <c r="F28" s="375"/>
      <c r="G28" s="375"/>
      <c r="H28" s="375"/>
      <c r="I28" s="375"/>
      <c r="J28" s="375"/>
      <c r="K28" s="375"/>
      <c r="L28" s="375"/>
      <c r="M28" s="212">
        <v>3</v>
      </c>
      <c r="N28" s="212">
        <v>4</v>
      </c>
      <c r="O28" s="212">
        <v>5</v>
      </c>
      <c r="P28" s="212">
        <v>6</v>
      </c>
      <c r="Q28" s="212">
        <v>7</v>
      </c>
      <c r="R28" s="212">
        <v>8</v>
      </c>
      <c r="S28" s="212">
        <v>9</v>
      </c>
      <c r="T28" s="212">
        <v>10</v>
      </c>
      <c r="U28" s="212">
        <v>11</v>
      </c>
      <c r="V28" s="212">
        <v>12</v>
      </c>
      <c r="W28" s="212">
        <v>13</v>
      </c>
      <c r="X28" s="212">
        <v>14</v>
      </c>
      <c r="Y28" s="212">
        <v>15</v>
      </c>
      <c r="Z28" s="212">
        <v>16</v>
      </c>
      <c r="AA28" s="212">
        <v>17</v>
      </c>
      <c r="AB28" s="212">
        <v>18</v>
      </c>
      <c r="AC28" s="212">
        <v>19</v>
      </c>
      <c r="AD28" s="212">
        <v>20</v>
      </c>
      <c r="AE28" s="212">
        <v>21</v>
      </c>
      <c r="AF28" s="212">
        <v>22</v>
      </c>
      <c r="AG28" s="416"/>
    </row>
    <row r="29" spans="1:33" ht="20.100000000000001" customHeight="1" x14ac:dyDescent="0.25">
      <c r="A29" s="109"/>
      <c r="B29" s="376"/>
      <c r="C29" s="376"/>
      <c r="D29" s="376"/>
      <c r="E29" s="376"/>
      <c r="F29" s="376"/>
      <c r="G29" s="376"/>
      <c r="H29" s="376"/>
      <c r="I29" s="376"/>
      <c r="J29" s="376"/>
      <c r="K29" s="376"/>
      <c r="L29" s="376"/>
      <c r="M29" s="212">
        <v>0</v>
      </c>
      <c r="N29" s="212"/>
      <c r="O29" s="212"/>
      <c r="P29" s="215"/>
      <c r="Q29" s="212">
        <v>14463</v>
      </c>
      <c r="R29" s="212">
        <v>0</v>
      </c>
      <c r="S29" s="212">
        <v>0</v>
      </c>
      <c r="T29" s="215">
        <v>0</v>
      </c>
      <c r="U29" s="212">
        <v>1032</v>
      </c>
      <c r="V29" s="212">
        <v>42</v>
      </c>
      <c r="W29" s="212">
        <f>V29-U29</f>
        <v>-990</v>
      </c>
      <c r="X29" s="153">
        <f>V29/U29*100</f>
        <v>4.0697674418604652</v>
      </c>
      <c r="Y29" s="212">
        <v>105</v>
      </c>
      <c r="Z29" s="212">
        <v>0</v>
      </c>
      <c r="AA29" s="212">
        <f>Z29-Y29</f>
        <v>-105</v>
      </c>
      <c r="AB29" s="215">
        <f>Z29/Y29*100</f>
        <v>0</v>
      </c>
      <c r="AC29" s="212">
        <f>M29+Q29+U29+Y29</f>
        <v>15600</v>
      </c>
      <c r="AD29" s="212">
        <f>N29+R29+V29+Z29</f>
        <v>42</v>
      </c>
      <c r="AE29" s="212">
        <f>AD29-AC29</f>
        <v>-15558</v>
      </c>
      <c r="AF29" s="215">
        <f>AD29/AC29*100</f>
        <v>0.26923076923076922</v>
      </c>
      <c r="AG29" s="416"/>
    </row>
    <row r="30" spans="1:33" ht="20.100000000000001" hidden="1" customHeight="1" x14ac:dyDescent="0.25">
      <c r="A30" s="109"/>
      <c r="B30" s="376"/>
      <c r="C30" s="376"/>
      <c r="D30" s="376"/>
      <c r="E30" s="376"/>
      <c r="F30" s="376"/>
      <c r="G30" s="376"/>
      <c r="H30" s="376"/>
      <c r="I30" s="376"/>
      <c r="J30" s="376"/>
      <c r="K30" s="376"/>
      <c r="L30" s="376"/>
      <c r="M30" s="212"/>
      <c r="N30" s="212"/>
      <c r="O30" s="212"/>
      <c r="P30" s="215"/>
      <c r="Q30" s="212"/>
      <c r="R30" s="212"/>
      <c r="S30" s="212">
        <f t="shared" ref="S30:S32" si="0">R30-Q30</f>
        <v>0</v>
      </c>
      <c r="T30" s="215"/>
      <c r="U30" s="212"/>
      <c r="V30" s="212"/>
      <c r="W30" s="212">
        <f t="shared" ref="W30:W32" si="1">V30-U30</f>
        <v>0</v>
      </c>
      <c r="X30" s="153" t="e">
        <f t="shared" ref="X30:X33" si="2">V30/U30*100</f>
        <v>#DIV/0!</v>
      </c>
      <c r="Y30" s="212"/>
      <c r="Z30" s="212"/>
      <c r="AA30" s="212"/>
      <c r="AB30" s="227" t="e">
        <f t="shared" ref="AB30:AB33" si="3">Z30/Y30*100</f>
        <v>#DIV/0!</v>
      </c>
      <c r="AC30" s="212">
        <f t="shared" ref="AC30:AC32" si="4">M30+Q30+U30+Y30</f>
        <v>0</v>
      </c>
      <c r="AD30" s="212">
        <f t="shared" ref="AD30:AD32" si="5">N30+R30+V30</f>
        <v>0</v>
      </c>
      <c r="AE30" s="212">
        <f t="shared" ref="AE30:AE32" si="6">AD30-AC30</f>
        <v>0</v>
      </c>
      <c r="AF30" s="227" t="e">
        <f t="shared" ref="AF30:AF33" si="7">AD30/AC30*100</f>
        <v>#DIV/0!</v>
      </c>
      <c r="AG30" s="416"/>
    </row>
    <row r="31" spans="1:33" ht="20.100000000000001" hidden="1" customHeight="1" x14ac:dyDescent="0.25">
      <c r="A31" s="109"/>
      <c r="B31" s="376"/>
      <c r="C31" s="376"/>
      <c r="D31" s="376"/>
      <c r="E31" s="376"/>
      <c r="F31" s="376"/>
      <c r="G31" s="376"/>
      <c r="H31" s="376"/>
      <c r="I31" s="376"/>
      <c r="J31" s="376"/>
      <c r="K31" s="376"/>
      <c r="L31" s="376"/>
      <c r="M31" s="212"/>
      <c r="N31" s="212"/>
      <c r="O31" s="212"/>
      <c r="P31" s="215"/>
      <c r="Q31" s="212"/>
      <c r="R31" s="212"/>
      <c r="S31" s="212">
        <f t="shared" si="0"/>
        <v>0</v>
      </c>
      <c r="T31" s="215"/>
      <c r="U31" s="212"/>
      <c r="V31" s="212"/>
      <c r="W31" s="212">
        <f t="shared" si="1"/>
        <v>0</v>
      </c>
      <c r="X31" s="153" t="e">
        <f t="shared" si="2"/>
        <v>#DIV/0!</v>
      </c>
      <c r="Y31" s="212"/>
      <c r="Z31" s="212"/>
      <c r="AA31" s="212"/>
      <c r="AB31" s="227" t="e">
        <f t="shared" si="3"/>
        <v>#DIV/0!</v>
      </c>
      <c r="AC31" s="212">
        <f t="shared" si="4"/>
        <v>0</v>
      </c>
      <c r="AD31" s="212">
        <f t="shared" si="5"/>
        <v>0</v>
      </c>
      <c r="AE31" s="212">
        <f t="shared" si="6"/>
        <v>0</v>
      </c>
      <c r="AF31" s="227" t="e">
        <f t="shared" si="7"/>
        <v>#DIV/0!</v>
      </c>
      <c r="AG31" s="416"/>
    </row>
    <row r="32" spans="1:33" ht="20.100000000000001" hidden="1" customHeight="1" x14ac:dyDescent="0.25">
      <c r="A32" s="109"/>
      <c r="B32" s="376"/>
      <c r="C32" s="376"/>
      <c r="D32" s="376"/>
      <c r="E32" s="376"/>
      <c r="F32" s="376"/>
      <c r="G32" s="376"/>
      <c r="H32" s="376"/>
      <c r="I32" s="376"/>
      <c r="J32" s="376"/>
      <c r="K32" s="376"/>
      <c r="L32" s="376"/>
      <c r="M32" s="212"/>
      <c r="N32" s="212"/>
      <c r="O32" s="212"/>
      <c r="P32" s="215"/>
      <c r="Q32" s="212"/>
      <c r="R32" s="212"/>
      <c r="S32" s="212">
        <f t="shared" si="0"/>
        <v>0</v>
      </c>
      <c r="T32" s="215"/>
      <c r="U32" s="212"/>
      <c r="V32" s="212"/>
      <c r="W32" s="212">
        <f t="shared" si="1"/>
        <v>0</v>
      </c>
      <c r="X32" s="153" t="e">
        <f t="shared" si="2"/>
        <v>#DIV/0!</v>
      </c>
      <c r="Y32" s="212"/>
      <c r="Z32" s="212"/>
      <c r="AA32" s="212"/>
      <c r="AB32" s="227" t="e">
        <f t="shared" si="3"/>
        <v>#DIV/0!</v>
      </c>
      <c r="AC32" s="212">
        <f t="shared" si="4"/>
        <v>0</v>
      </c>
      <c r="AD32" s="212">
        <f t="shared" si="5"/>
        <v>0</v>
      </c>
      <c r="AE32" s="212">
        <f t="shared" si="6"/>
        <v>0</v>
      </c>
      <c r="AF32" s="227" t="e">
        <f t="shared" si="7"/>
        <v>#DIV/0!</v>
      </c>
      <c r="AG32" s="416"/>
    </row>
    <row r="33" spans="1:33" ht="24.95" customHeight="1" x14ac:dyDescent="0.25">
      <c r="A33" s="364" t="s">
        <v>89</v>
      </c>
      <c r="B33" s="365"/>
      <c r="C33" s="365"/>
      <c r="D33" s="365"/>
      <c r="E33" s="365"/>
      <c r="F33" s="365"/>
      <c r="G33" s="365"/>
      <c r="H33" s="365"/>
      <c r="I33" s="365"/>
      <c r="J33" s="365"/>
      <c r="K33" s="365"/>
      <c r="L33" s="366"/>
      <c r="M33" s="212">
        <f>SUM(M29:M32)</f>
        <v>0</v>
      </c>
      <c r="N33" s="212">
        <f t="shared" ref="N33:Q33" si="8">SUM(N29:N32)</f>
        <v>0</v>
      </c>
      <c r="O33" s="212">
        <f t="shared" si="8"/>
        <v>0</v>
      </c>
      <c r="P33" s="212">
        <f t="shared" si="8"/>
        <v>0</v>
      </c>
      <c r="Q33" s="212">
        <f t="shared" si="8"/>
        <v>14463</v>
      </c>
      <c r="R33" s="212">
        <f t="shared" ref="R33" si="9">SUM(R29:R32)</f>
        <v>0</v>
      </c>
      <c r="S33" s="212">
        <f t="shared" ref="S33" si="10">SUM(S29:S32)</f>
        <v>0</v>
      </c>
      <c r="T33" s="212">
        <f t="shared" ref="T33" si="11">SUM(T29:T32)</f>
        <v>0</v>
      </c>
      <c r="U33" s="212">
        <f t="shared" ref="U33" si="12">SUM(U29:U32)</f>
        <v>1032</v>
      </c>
      <c r="V33" s="212">
        <f t="shared" ref="V33" si="13">SUM(V29:V32)</f>
        <v>42</v>
      </c>
      <c r="W33" s="212">
        <f t="shared" ref="W33" si="14">SUM(W29:W32)</f>
        <v>-990</v>
      </c>
      <c r="X33" s="153">
        <f t="shared" si="2"/>
        <v>4.0697674418604652</v>
      </c>
      <c r="Y33" s="212">
        <f>SUM(Y29:Y32)</f>
        <v>105</v>
      </c>
      <c r="Z33" s="212">
        <f t="shared" ref="Z33:AA33" si="15">SUM(Z29:Z32)</f>
        <v>0</v>
      </c>
      <c r="AA33" s="212">
        <f t="shared" si="15"/>
        <v>-105</v>
      </c>
      <c r="AB33" s="227">
        <f t="shared" si="3"/>
        <v>0</v>
      </c>
      <c r="AC33" s="212">
        <f>SUM(AC29:AC32)</f>
        <v>15600</v>
      </c>
      <c r="AD33" s="212">
        <f t="shared" ref="AD33:AE33" si="16">SUM(AD29:AD32)</f>
        <v>42</v>
      </c>
      <c r="AE33" s="212">
        <f t="shared" si="16"/>
        <v>-15558</v>
      </c>
      <c r="AF33" s="227">
        <f t="shared" si="7"/>
        <v>0.26923076923076922</v>
      </c>
      <c r="AG33" s="416"/>
    </row>
    <row r="34" spans="1:33" ht="24.95" customHeight="1" x14ac:dyDescent="0.25">
      <c r="A34" s="364" t="s">
        <v>403</v>
      </c>
      <c r="B34" s="365"/>
      <c r="C34" s="365"/>
      <c r="D34" s="365"/>
      <c r="E34" s="365"/>
      <c r="F34" s="365"/>
      <c r="G34" s="365"/>
      <c r="H34" s="365"/>
      <c r="I34" s="365"/>
      <c r="J34" s="365"/>
      <c r="K34" s="365"/>
      <c r="L34" s="366"/>
      <c r="M34" s="122">
        <f>M33/AC33*100</f>
        <v>0</v>
      </c>
      <c r="N34" s="215"/>
      <c r="O34" s="215"/>
      <c r="P34" s="215"/>
      <c r="Q34" s="122">
        <f>Q33/AC33*100</f>
        <v>92.711538461538453</v>
      </c>
      <c r="R34" s="215"/>
      <c r="S34" s="215"/>
      <c r="T34" s="215"/>
      <c r="U34" s="123">
        <v>7238</v>
      </c>
      <c r="V34" s="212"/>
      <c r="W34" s="212"/>
      <c r="X34" s="212"/>
      <c r="Y34" s="122">
        <f>Y33/AC33*100</f>
        <v>0.67307692307692313</v>
      </c>
      <c r="Z34" s="215"/>
      <c r="AA34" s="215"/>
      <c r="AB34" s="215"/>
      <c r="AC34" s="122">
        <f>AC33/AC33*100</f>
        <v>100</v>
      </c>
      <c r="AD34" s="215"/>
      <c r="AE34" s="215"/>
      <c r="AF34" s="215"/>
      <c r="AG34" s="416"/>
    </row>
    <row r="35" spans="1:33" ht="15" customHeight="1" x14ac:dyDescent="0.25">
      <c r="A35" s="124"/>
      <c r="B35" s="124"/>
      <c r="C35" s="124"/>
      <c r="D35" s="125"/>
      <c r="E35" s="125"/>
      <c r="F35" s="125"/>
      <c r="G35" s="125"/>
      <c r="H35" s="125"/>
      <c r="I35" s="125"/>
      <c r="J35" s="125"/>
      <c r="K35" s="125"/>
      <c r="L35" s="125"/>
      <c r="M35" s="125"/>
      <c r="N35" s="125"/>
      <c r="O35" s="125"/>
      <c r="P35" s="125"/>
      <c r="Q35" s="125"/>
      <c r="R35" s="125"/>
      <c r="S35" s="125"/>
      <c r="T35" s="125"/>
      <c r="U35" s="125"/>
      <c r="V35" s="125"/>
      <c r="AC35" s="182"/>
      <c r="AG35" s="416"/>
    </row>
    <row r="36" spans="1:33" s="106" customFormat="1" ht="31.5" customHeight="1" x14ac:dyDescent="0.25">
      <c r="C36" s="106" t="s">
        <v>404</v>
      </c>
      <c r="AG36" s="416"/>
    </row>
    <row r="37" spans="1:33" s="126" customFormat="1" x14ac:dyDescent="0.25">
      <c r="A37" s="105"/>
      <c r="B37" s="105"/>
      <c r="C37" s="105"/>
      <c r="D37" s="105"/>
      <c r="E37" s="105"/>
      <c r="F37" s="105"/>
      <c r="G37" s="105"/>
      <c r="H37" s="105"/>
      <c r="I37" s="105"/>
      <c r="J37" s="105"/>
      <c r="L37" s="105"/>
      <c r="N37" s="126" t="s">
        <v>3</v>
      </c>
      <c r="AD37" s="367" t="s">
        <v>399</v>
      </c>
      <c r="AE37" s="367"/>
      <c r="AF37" s="367"/>
      <c r="AG37" s="416"/>
    </row>
    <row r="38" spans="1:33" s="127" customFormat="1" ht="36" customHeight="1" x14ac:dyDescent="0.2">
      <c r="A38" s="363" t="s">
        <v>405</v>
      </c>
      <c r="B38" s="368" t="s">
        <v>424</v>
      </c>
      <c r="C38" s="369"/>
      <c r="D38" s="362" t="s">
        <v>425</v>
      </c>
      <c r="E38" s="362"/>
      <c r="F38" s="362" t="s">
        <v>406</v>
      </c>
      <c r="G38" s="362"/>
      <c r="H38" s="362" t="s">
        <v>426</v>
      </c>
      <c r="I38" s="362"/>
      <c r="J38" s="362" t="s">
        <v>407</v>
      </c>
      <c r="K38" s="362"/>
      <c r="L38" s="374" t="s">
        <v>427</v>
      </c>
      <c r="M38" s="374"/>
      <c r="N38" s="374"/>
      <c r="O38" s="374"/>
      <c r="P38" s="374"/>
      <c r="Q38" s="374"/>
      <c r="R38" s="374"/>
      <c r="S38" s="374"/>
      <c r="T38" s="374"/>
      <c r="U38" s="374"/>
      <c r="V38" s="362" t="s">
        <v>428</v>
      </c>
      <c r="W38" s="362"/>
      <c r="X38" s="362"/>
      <c r="Y38" s="362"/>
      <c r="Z38" s="362"/>
      <c r="AA38" s="362" t="s">
        <v>408</v>
      </c>
      <c r="AB38" s="362"/>
      <c r="AC38" s="362"/>
      <c r="AD38" s="362"/>
      <c r="AE38" s="362"/>
      <c r="AF38" s="362"/>
      <c r="AG38" s="416"/>
    </row>
    <row r="39" spans="1:33" s="127" customFormat="1" ht="52.5" customHeight="1" x14ac:dyDescent="0.2">
      <c r="A39" s="363"/>
      <c r="B39" s="370"/>
      <c r="C39" s="371"/>
      <c r="D39" s="362"/>
      <c r="E39" s="362"/>
      <c r="F39" s="362"/>
      <c r="G39" s="362"/>
      <c r="H39" s="362"/>
      <c r="I39" s="362"/>
      <c r="J39" s="362"/>
      <c r="K39" s="362"/>
      <c r="L39" s="362" t="s">
        <v>409</v>
      </c>
      <c r="M39" s="362"/>
      <c r="N39" s="362" t="s">
        <v>410</v>
      </c>
      <c r="O39" s="362"/>
      <c r="P39" s="362" t="s">
        <v>411</v>
      </c>
      <c r="Q39" s="362"/>
      <c r="R39" s="362"/>
      <c r="S39" s="362"/>
      <c r="T39" s="362"/>
      <c r="U39" s="362"/>
      <c r="V39" s="362"/>
      <c r="W39" s="362"/>
      <c r="X39" s="362"/>
      <c r="Y39" s="362"/>
      <c r="Z39" s="362"/>
      <c r="AA39" s="362"/>
      <c r="AB39" s="362"/>
      <c r="AC39" s="362"/>
      <c r="AD39" s="362"/>
      <c r="AE39" s="362"/>
      <c r="AF39" s="362"/>
      <c r="AG39" s="416"/>
    </row>
    <row r="40" spans="1:33" s="128" customFormat="1" ht="82.5" customHeight="1" x14ac:dyDescent="0.25">
      <c r="A40" s="363"/>
      <c r="B40" s="372"/>
      <c r="C40" s="373"/>
      <c r="D40" s="362"/>
      <c r="E40" s="362"/>
      <c r="F40" s="362"/>
      <c r="G40" s="362"/>
      <c r="H40" s="362"/>
      <c r="I40" s="362"/>
      <c r="J40" s="362"/>
      <c r="K40" s="362"/>
      <c r="L40" s="362"/>
      <c r="M40" s="362"/>
      <c r="N40" s="362"/>
      <c r="O40" s="362"/>
      <c r="P40" s="362" t="s">
        <v>412</v>
      </c>
      <c r="Q40" s="362"/>
      <c r="R40" s="362" t="s">
        <v>413</v>
      </c>
      <c r="S40" s="362"/>
      <c r="T40" s="362" t="s">
        <v>414</v>
      </c>
      <c r="U40" s="362"/>
      <c r="V40" s="362"/>
      <c r="W40" s="362"/>
      <c r="X40" s="362"/>
      <c r="Y40" s="362"/>
      <c r="Z40" s="362"/>
      <c r="AA40" s="362"/>
      <c r="AB40" s="362"/>
      <c r="AC40" s="362"/>
      <c r="AD40" s="362"/>
      <c r="AE40" s="362"/>
      <c r="AF40" s="362"/>
      <c r="AG40" s="416"/>
    </row>
    <row r="41" spans="1:33" s="127" customFormat="1" ht="18.75" customHeight="1" x14ac:dyDescent="0.2">
      <c r="A41" s="129">
        <v>1</v>
      </c>
      <c r="B41" s="360">
        <v>2</v>
      </c>
      <c r="C41" s="361"/>
      <c r="D41" s="362">
        <v>3</v>
      </c>
      <c r="E41" s="362"/>
      <c r="F41" s="362">
        <v>4</v>
      </c>
      <c r="G41" s="362"/>
      <c r="H41" s="362">
        <v>5</v>
      </c>
      <c r="I41" s="362"/>
      <c r="J41" s="362">
        <v>6</v>
      </c>
      <c r="K41" s="362"/>
      <c r="L41" s="360">
        <v>7</v>
      </c>
      <c r="M41" s="361"/>
      <c r="N41" s="360">
        <v>8</v>
      </c>
      <c r="O41" s="361"/>
      <c r="P41" s="362">
        <v>9</v>
      </c>
      <c r="Q41" s="362"/>
      <c r="R41" s="363">
        <v>10</v>
      </c>
      <c r="S41" s="363"/>
      <c r="T41" s="362">
        <v>11</v>
      </c>
      <c r="U41" s="362"/>
      <c r="V41" s="362">
        <v>12</v>
      </c>
      <c r="W41" s="362"/>
      <c r="X41" s="362"/>
      <c r="Y41" s="362"/>
      <c r="Z41" s="362"/>
      <c r="AA41" s="362">
        <v>13</v>
      </c>
      <c r="AB41" s="362"/>
      <c r="AC41" s="362"/>
      <c r="AD41" s="362"/>
      <c r="AE41" s="362"/>
      <c r="AF41" s="362"/>
      <c r="AG41" s="416"/>
    </row>
    <row r="42" spans="1:33" s="127" customFormat="1" ht="20.100000000000001" customHeight="1" x14ac:dyDescent="0.25">
      <c r="A42" s="130"/>
      <c r="B42" s="357"/>
      <c r="C42" s="358"/>
      <c r="D42" s="359"/>
      <c r="E42" s="359"/>
      <c r="F42" s="347"/>
      <c r="G42" s="347"/>
      <c r="H42" s="347"/>
      <c r="I42" s="347"/>
      <c r="J42" s="347"/>
      <c r="K42" s="347"/>
      <c r="L42" s="355"/>
      <c r="M42" s="356"/>
      <c r="N42" s="355"/>
      <c r="O42" s="356"/>
      <c r="P42" s="347"/>
      <c r="Q42" s="347"/>
      <c r="R42" s="347"/>
      <c r="S42" s="347"/>
      <c r="T42" s="347"/>
      <c r="U42" s="347"/>
      <c r="V42" s="348"/>
      <c r="W42" s="348"/>
      <c r="X42" s="348"/>
      <c r="Y42" s="348"/>
      <c r="Z42" s="348"/>
      <c r="AA42" s="347"/>
      <c r="AB42" s="347"/>
      <c r="AC42" s="347"/>
      <c r="AD42" s="347"/>
      <c r="AE42" s="347"/>
      <c r="AF42" s="347"/>
      <c r="AG42" s="416"/>
    </row>
    <row r="43" spans="1:33" s="127" customFormat="1" ht="24.95" customHeight="1" x14ac:dyDescent="0.25">
      <c r="A43" s="352" t="s">
        <v>89</v>
      </c>
      <c r="B43" s="353"/>
      <c r="C43" s="353"/>
      <c r="D43" s="353"/>
      <c r="E43" s="354"/>
      <c r="F43" s="347"/>
      <c r="G43" s="347"/>
      <c r="H43" s="347"/>
      <c r="I43" s="347"/>
      <c r="J43" s="347"/>
      <c r="K43" s="347"/>
      <c r="L43" s="355"/>
      <c r="M43" s="356"/>
      <c r="N43" s="355"/>
      <c r="O43" s="356"/>
      <c r="P43" s="347"/>
      <c r="Q43" s="347"/>
      <c r="R43" s="347"/>
      <c r="S43" s="347"/>
      <c r="T43" s="347"/>
      <c r="U43" s="347"/>
      <c r="V43" s="348"/>
      <c r="W43" s="348"/>
      <c r="X43" s="348"/>
      <c r="Y43" s="348"/>
      <c r="Z43" s="348"/>
      <c r="AA43" s="347"/>
      <c r="AB43" s="347"/>
      <c r="AC43" s="347"/>
      <c r="AD43" s="347"/>
      <c r="AE43" s="347"/>
      <c r="AF43" s="347"/>
      <c r="AG43" s="416"/>
    </row>
    <row r="44" spans="1:33" ht="15" customHeight="1" x14ac:dyDescent="0.25">
      <c r="A44" s="124"/>
      <c r="B44" s="124"/>
      <c r="C44" s="124"/>
      <c r="D44" s="125"/>
      <c r="E44" s="125"/>
      <c r="F44" s="125"/>
      <c r="G44" s="125"/>
      <c r="H44" s="125"/>
      <c r="I44" s="125"/>
      <c r="J44" s="125"/>
      <c r="K44" s="125"/>
      <c r="L44" s="125"/>
      <c r="M44" s="125"/>
      <c r="N44" s="125"/>
      <c r="O44" s="125"/>
      <c r="P44" s="125"/>
      <c r="Q44" s="125"/>
      <c r="R44" s="125"/>
      <c r="S44" s="125"/>
      <c r="T44" s="125"/>
      <c r="U44" s="125"/>
      <c r="V44" s="125"/>
      <c r="AG44" s="416"/>
    </row>
    <row r="45" spans="1:33" ht="15" customHeight="1" x14ac:dyDescent="0.25">
      <c r="A45" s="124"/>
      <c r="B45" s="124"/>
      <c r="C45" s="124"/>
      <c r="D45" s="125"/>
      <c r="E45" s="125"/>
      <c r="F45" s="125"/>
      <c r="G45" s="125"/>
      <c r="H45" s="125"/>
      <c r="I45" s="125"/>
      <c r="J45" s="125"/>
      <c r="K45" s="125"/>
      <c r="L45" s="125"/>
      <c r="M45" s="125"/>
      <c r="N45" s="125"/>
      <c r="O45" s="125"/>
      <c r="P45" s="125"/>
      <c r="Q45" s="125"/>
      <c r="R45" s="125"/>
      <c r="S45" s="125"/>
      <c r="T45" s="125"/>
      <c r="U45" s="125"/>
      <c r="V45" s="125"/>
      <c r="AG45" s="416"/>
    </row>
    <row r="46" spans="1:33" ht="15" customHeight="1" x14ac:dyDescent="0.25">
      <c r="A46" s="124"/>
      <c r="B46" s="349" t="s">
        <v>429</v>
      </c>
      <c r="C46" s="349"/>
      <c r="D46" s="349"/>
      <c r="E46" s="349"/>
      <c r="F46" s="349"/>
      <c r="G46" s="349"/>
      <c r="H46" s="125"/>
      <c r="I46" s="125"/>
      <c r="J46" s="125"/>
      <c r="K46" s="125"/>
      <c r="L46" s="125"/>
      <c r="M46" s="350" t="s">
        <v>430</v>
      </c>
      <c r="N46" s="350"/>
      <c r="O46" s="350"/>
      <c r="P46" s="350"/>
      <c r="Q46" s="350"/>
      <c r="R46" s="125"/>
      <c r="S46" s="125"/>
      <c r="T46" s="125"/>
      <c r="U46" s="125"/>
      <c r="V46" s="125"/>
      <c r="W46" s="351" t="s">
        <v>317</v>
      </c>
      <c r="X46" s="351"/>
      <c r="Y46" s="351"/>
      <c r="Z46" s="351"/>
      <c r="AA46" s="351"/>
      <c r="AG46" s="416"/>
    </row>
    <row r="47" spans="1:33" s="131" customFormat="1" x14ac:dyDescent="0.25">
      <c r="B47" s="346" t="s">
        <v>210</v>
      </c>
      <c r="C47" s="346"/>
      <c r="D47" s="346"/>
      <c r="E47" s="346"/>
      <c r="F47" s="346"/>
      <c r="G47" s="346"/>
      <c r="H47" s="106"/>
      <c r="I47" s="106"/>
      <c r="J47" s="106"/>
      <c r="K47" s="106"/>
      <c r="L47" s="106"/>
      <c r="M47" s="346" t="s">
        <v>198</v>
      </c>
      <c r="N47" s="346"/>
      <c r="O47" s="346"/>
      <c r="P47" s="346"/>
      <c r="Q47" s="346"/>
      <c r="R47" s="211"/>
      <c r="S47" s="211"/>
      <c r="T47" s="211"/>
      <c r="U47" s="211"/>
      <c r="V47" s="105"/>
      <c r="W47" s="346" t="s">
        <v>431</v>
      </c>
      <c r="X47" s="346"/>
      <c r="Y47" s="346"/>
      <c r="Z47" s="346"/>
      <c r="AA47" s="346"/>
      <c r="AB47" s="211"/>
      <c r="AC47" s="211"/>
      <c r="AD47" s="211"/>
      <c r="AE47" s="211"/>
      <c r="AF47" s="211"/>
      <c r="AG47" s="416"/>
    </row>
    <row r="48" spans="1:33" s="132" customFormat="1" ht="16.5" customHeight="1" x14ac:dyDescent="0.25">
      <c r="C48" s="133"/>
      <c r="D48" s="134"/>
      <c r="E48" s="134"/>
      <c r="F48" s="135"/>
      <c r="G48" s="135"/>
      <c r="H48" s="135"/>
      <c r="I48" s="135"/>
      <c r="J48" s="135"/>
      <c r="K48" s="135"/>
      <c r="L48" s="135"/>
      <c r="M48" s="135"/>
      <c r="O48" s="134"/>
      <c r="P48" s="134"/>
      <c r="Q48" s="134"/>
      <c r="R48" s="134"/>
      <c r="S48" s="134"/>
      <c r="T48" s="134"/>
      <c r="U48" s="134"/>
      <c r="V48" s="134"/>
      <c r="W48" s="134"/>
      <c r="X48" s="134"/>
      <c r="Y48" s="134"/>
      <c r="Z48" s="134"/>
      <c r="AA48" s="134"/>
      <c r="AG48" s="416"/>
    </row>
    <row r="49" spans="3:33" s="131" customFormat="1" x14ac:dyDescent="0.25">
      <c r="F49" s="104"/>
      <c r="G49" s="104"/>
      <c r="H49" s="104"/>
      <c r="I49" s="104"/>
      <c r="J49" s="104"/>
      <c r="K49" s="104"/>
      <c r="L49" s="104"/>
      <c r="M49" s="211"/>
      <c r="N49" s="211"/>
      <c r="O49" s="211"/>
      <c r="P49" s="211"/>
      <c r="Q49" s="104"/>
      <c r="R49" s="104"/>
      <c r="S49" s="104"/>
      <c r="T49" s="104"/>
      <c r="U49" s="211"/>
      <c r="V49" s="211"/>
      <c r="W49" s="211"/>
      <c r="X49" s="104"/>
      <c r="Y49" s="104"/>
      <c r="Z49" s="104"/>
      <c r="AA49" s="104"/>
      <c r="AB49" s="211"/>
      <c r="AC49" s="211"/>
      <c r="AD49" s="211"/>
      <c r="AE49" s="211"/>
      <c r="AF49" s="211"/>
      <c r="AG49" s="416"/>
    </row>
    <row r="50" spans="3:33" x14ac:dyDescent="0.25">
      <c r="C50" s="136"/>
      <c r="D50" s="136"/>
      <c r="E50" s="136"/>
      <c r="F50" s="136"/>
      <c r="G50" s="136"/>
      <c r="H50" s="136"/>
      <c r="I50" s="137"/>
      <c r="J50" s="137"/>
      <c r="K50" s="137"/>
      <c r="L50" s="137"/>
      <c r="M50" s="137"/>
      <c r="N50" s="137"/>
      <c r="O50" s="137"/>
      <c r="P50" s="137"/>
      <c r="Q50" s="137"/>
      <c r="R50" s="137"/>
      <c r="S50" s="137"/>
      <c r="T50" s="137"/>
      <c r="U50" s="136"/>
      <c r="V50" s="136"/>
      <c r="AG50" s="416"/>
    </row>
    <row r="51" spans="3:33" x14ac:dyDescent="0.25">
      <c r="C51" s="136"/>
      <c r="D51" s="136"/>
      <c r="E51" s="136"/>
      <c r="F51" s="136"/>
      <c r="G51" s="136"/>
      <c r="H51" s="136"/>
      <c r="I51" s="136"/>
      <c r="J51" s="136"/>
      <c r="K51" s="136"/>
      <c r="L51" s="136"/>
      <c r="M51" s="136"/>
      <c r="N51" s="136"/>
      <c r="O51" s="136"/>
      <c r="P51" s="136"/>
      <c r="Q51" s="136"/>
      <c r="R51" s="136"/>
      <c r="S51" s="136"/>
      <c r="T51" s="136"/>
      <c r="U51" s="136"/>
      <c r="V51" s="136"/>
      <c r="AG51" s="416"/>
    </row>
    <row r="52" spans="3:33" x14ac:dyDescent="0.25">
      <c r="C52" s="136"/>
      <c r="D52" s="136"/>
      <c r="E52" s="136"/>
      <c r="F52" s="136"/>
      <c r="G52" s="136"/>
      <c r="H52" s="136"/>
      <c r="I52" s="136"/>
      <c r="J52" s="136"/>
      <c r="K52" s="136"/>
      <c r="L52" s="136"/>
      <c r="M52" s="136"/>
      <c r="N52" s="136"/>
      <c r="O52" s="136"/>
      <c r="P52" s="136"/>
      <c r="Q52" s="136"/>
      <c r="R52" s="136"/>
      <c r="S52" s="136"/>
      <c r="T52" s="136"/>
      <c r="U52" s="136"/>
      <c r="V52" s="136"/>
      <c r="AG52" s="416"/>
    </row>
    <row r="53" spans="3:33" x14ac:dyDescent="0.25">
      <c r="C53" s="138"/>
    </row>
    <row r="56" spans="3:33" x14ac:dyDescent="0.25">
      <c r="C56" s="139"/>
    </row>
    <row r="57" spans="3:33" x14ac:dyDescent="0.25">
      <c r="C57" s="139"/>
    </row>
    <row r="58" spans="3:33" x14ac:dyDescent="0.25">
      <c r="C58" s="139"/>
    </row>
    <row r="59" spans="3:33" x14ac:dyDescent="0.25">
      <c r="C59" s="139"/>
    </row>
    <row r="60" spans="3:33" x14ac:dyDescent="0.25">
      <c r="C60" s="139"/>
    </row>
    <row r="61" spans="3:33" x14ac:dyDescent="0.25">
      <c r="C61" s="139"/>
    </row>
    <row r="62" spans="3:33" x14ac:dyDescent="0.25">
      <c r="C62" s="139"/>
    </row>
  </sheetData>
  <mergeCells count="176">
    <mergeCell ref="AD1:AF1"/>
    <mergeCell ref="AD2:AF2"/>
    <mergeCell ref="AG3:AG52"/>
    <mergeCell ref="A5:A6"/>
    <mergeCell ref="B5:C6"/>
    <mergeCell ref="D5:F6"/>
    <mergeCell ref="G5:M6"/>
    <mergeCell ref="N5:Q6"/>
    <mergeCell ref="R5:AF5"/>
    <mergeCell ref="R6:T6"/>
    <mergeCell ref="U6:W6"/>
    <mergeCell ref="X6:Z6"/>
    <mergeCell ref="AA6:AC6"/>
    <mergeCell ref="AD6:AF6"/>
    <mergeCell ref="B7:C7"/>
    <mergeCell ref="D7:F7"/>
    <mergeCell ref="G7:M7"/>
    <mergeCell ref="N7:Q7"/>
    <mergeCell ref="R7:T7"/>
    <mergeCell ref="U7:W7"/>
    <mergeCell ref="X7:Z7"/>
    <mergeCell ref="AA7:AC7"/>
    <mergeCell ref="AD7:AF7"/>
    <mergeCell ref="B8:C8"/>
    <mergeCell ref="D8:F8"/>
    <mergeCell ref="G8:M8"/>
    <mergeCell ref="N8:Q8"/>
    <mergeCell ref="R8:T8"/>
    <mergeCell ref="U8:W8"/>
    <mergeCell ref="X8:Z8"/>
    <mergeCell ref="AD9:AF9"/>
    <mergeCell ref="A10:M10"/>
    <mergeCell ref="N10:Q10"/>
    <mergeCell ref="R10:T10"/>
    <mergeCell ref="U10:W10"/>
    <mergeCell ref="X10:Z10"/>
    <mergeCell ref="AA10:AC10"/>
    <mergeCell ref="AD10:AF10"/>
    <mergeCell ref="AA8:AC8"/>
    <mergeCell ref="AD8:AF8"/>
    <mergeCell ref="B9:C9"/>
    <mergeCell ref="D9:F9"/>
    <mergeCell ref="G9:M9"/>
    <mergeCell ref="N9:Q9"/>
    <mergeCell ref="R9:T9"/>
    <mergeCell ref="U9:W9"/>
    <mergeCell ref="X9:Z9"/>
    <mergeCell ref="AA9:AC9"/>
    <mergeCell ref="A15:A17"/>
    <mergeCell ref="B15:C17"/>
    <mergeCell ref="D15:G17"/>
    <mergeCell ref="H15:Q17"/>
    <mergeCell ref="R15:V17"/>
    <mergeCell ref="W15:AF15"/>
    <mergeCell ref="W16:X17"/>
    <mergeCell ref="Y16:Z17"/>
    <mergeCell ref="AA16:AB17"/>
    <mergeCell ref="AC16:AD17"/>
    <mergeCell ref="AE16:AF17"/>
    <mergeCell ref="B18:C18"/>
    <mergeCell ref="D18:G18"/>
    <mergeCell ref="H18:Q18"/>
    <mergeCell ref="R18:V18"/>
    <mergeCell ref="W18:X18"/>
    <mergeCell ref="Y18:Z18"/>
    <mergeCell ref="AA18:AB18"/>
    <mergeCell ref="AC18:AD18"/>
    <mergeCell ref="AE18:AF18"/>
    <mergeCell ref="A20:V20"/>
    <mergeCell ref="W20:X20"/>
    <mergeCell ref="Y20:Z20"/>
    <mergeCell ref="AA20:AB20"/>
    <mergeCell ref="AC20:AD20"/>
    <mergeCell ref="AE20:AF20"/>
    <mergeCell ref="AA19:AB19"/>
    <mergeCell ref="AC19:AD19"/>
    <mergeCell ref="AE19:AF19"/>
    <mergeCell ref="B19:C19"/>
    <mergeCell ref="D19:G19"/>
    <mergeCell ref="H19:Q19"/>
    <mergeCell ref="R19:V19"/>
    <mergeCell ref="W19:X19"/>
    <mergeCell ref="Y19:Z19"/>
    <mergeCell ref="Z24:AB24"/>
    <mergeCell ref="AD24:AF24"/>
    <mergeCell ref="A25:A27"/>
    <mergeCell ref="B25:L27"/>
    <mergeCell ref="M25:P25"/>
    <mergeCell ref="Q25:T25"/>
    <mergeCell ref="U25:X25"/>
    <mergeCell ref="Y25:AB25"/>
    <mergeCell ref="AC25:AF25"/>
    <mergeCell ref="M26:M27"/>
    <mergeCell ref="AF26:AF27"/>
    <mergeCell ref="AD26:AD27"/>
    <mergeCell ref="AE26:AE27"/>
    <mergeCell ref="B28:L28"/>
    <mergeCell ref="B29:L29"/>
    <mergeCell ref="B30:L30"/>
    <mergeCell ref="B31:L31"/>
    <mergeCell ref="B32:L32"/>
    <mergeCell ref="Z26:Z27"/>
    <mergeCell ref="AA26:AA27"/>
    <mergeCell ref="AB26:AB27"/>
    <mergeCell ref="AC26:AC27"/>
    <mergeCell ref="T26:T27"/>
    <mergeCell ref="U26:U27"/>
    <mergeCell ref="V26:V27"/>
    <mergeCell ref="W26:W27"/>
    <mergeCell ref="X26:X27"/>
    <mergeCell ref="Y26:Y27"/>
    <mergeCell ref="N26:N27"/>
    <mergeCell ref="O26:O27"/>
    <mergeCell ref="P26:P27"/>
    <mergeCell ref="Q26:Q27"/>
    <mergeCell ref="R26:R27"/>
    <mergeCell ref="S26:S27"/>
    <mergeCell ref="V38:Z40"/>
    <mergeCell ref="AA38:AF40"/>
    <mergeCell ref="L39:M40"/>
    <mergeCell ref="N39:O40"/>
    <mergeCell ref="P39:U39"/>
    <mergeCell ref="P40:Q40"/>
    <mergeCell ref="R40:S40"/>
    <mergeCell ref="T40:U40"/>
    <mergeCell ref="A33:L33"/>
    <mergeCell ref="A34:L34"/>
    <mergeCell ref="AD37:AF37"/>
    <mergeCell ref="A38:A40"/>
    <mergeCell ref="B38:C40"/>
    <mergeCell ref="D38:E40"/>
    <mergeCell ref="F38:G40"/>
    <mergeCell ref="H38:I40"/>
    <mergeCell ref="J38:K40"/>
    <mergeCell ref="L38:U38"/>
    <mergeCell ref="N41:O41"/>
    <mergeCell ref="P41:Q41"/>
    <mergeCell ref="R41:S41"/>
    <mergeCell ref="T41:U41"/>
    <mergeCell ref="V41:Z41"/>
    <mergeCell ref="AA41:AF41"/>
    <mergeCell ref="B41:C41"/>
    <mergeCell ref="D41:E41"/>
    <mergeCell ref="F41:G41"/>
    <mergeCell ref="H41:I41"/>
    <mergeCell ref="J41:K41"/>
    <mergeCell ref="L41:M41"/>
    <mergeCell ref="N42:O42"/>
    <mergeCell ref="P42:Q42"/>
    <mergeCell ref="R42:S42"/>
    <mergeCell ref="T42:U42"/>
    <mergeCell ref="V42:Z42"/>
    <mergeCell ref="AA42:AF42"/>
    <mergeCell ref="B42:C42"/>
    <mergeCell ref="D42:E42"/>
    <mergeCell ref="F42:G42"/>
    <mergeCell ref="H42:I42"/>
    <mergeCell ref="J42:K42"/>
    <mergeCell ref="L42:M42"/>
    <mergeCell ref="B47:G47"/>
    <mergeCell ref="M47:Q47"/>
    <mergeCell ref="W47:AA47"/>
    <mergeCell ref="P43:Q43"/>
    <mergeCell ref="R43:S43"/>
    <mergeCell ref="T43:U43"/>
    <mergeCell ref="V43:Z43"/>
    <mergeCell ref="AA43:AF43"/>
    <mergeCell ref="B46:G46"/>
    <mergeCell ref="M46:Q46"/>
    <mergeCell ref="W46:AA46"/>
    <mergeCell ref="A43:E43"/>
    <mergeCell ref="F43:G43"/>
    <mergeCell ref="H43:I43"/>
    <mergeCell ref="J43:K43"/>
    <mergeCell ref="L43:M43"/>
    <mergeCell ref="N43:O43"/>
  </mergeCells>
  <pageMargins left="0.43307086614173229" right="0.23622047244094491" top="0.15748031496062992" bottom="0.74803149606299213" header="0.31496062992125984" footer="0.31496062992125984"/>
  <pageSetup paperSize="9" scale="51"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Фін.план зведені показники</vt:lpstr>
      <vt:lpstr>Фін.результат</vt:lpstr>
      <vt:lpstr>Розрахунки з бюджетом</vt:lpstr>
      <vt:lpstr>рух грош.коштів</vt:lpstr>
      <vt:lpstr>Кап.інвестиції</vt:lpstr>
      <vt:lpstr>Коефіцієнти</vt:lpstr>
      <vt:lpstr>6.1</vt:lpstr>
      <vt:lpstr>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2021-05-25T10:19:39Z</dcterms:modified>
</cp:coreProperties>
</file>