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Цилюрик\ДОКУМЕНТИ\Vitaly\Vitaly\Мои документы V Виталий 2010_2018\2017 рік\Информац про бюджет_2017\ВК_СМР за 2017р\"/>
    </mc:Choice>
  </mc:AlternateContent>
  <bookViews>
    <workbookView xWindow="0" yWindow="0" windowWidth="19908" windowHeight="9192" tabRatio="176"/>
  </bookViews>
  <sheets>
    <sheet name="2017" sheetId="2" r:id="rId1"/>
    <sheet name="Лист1" sheetId="1" r:id="rId2"/>
  </sheets>
  <definedNames>
    <definedName name="_xlnm.Print_Area" localSheetId="0">'2017'!$A$1:$J$65</definedName>
    <definedName name="_xlnm.Print_Area" localSheetId="1">Лист1!$A$1:$J$65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2" l="1"/>
  <c r="E35" i="2"/>
  <c r="G35" i="2" s="1"/>
  <c r="I59" i="2"/>
  <c r="F59" i="2"/>
  <c r="G59" i="2" s="1"/>
  <c r="H58" i="2"/>
  <c r="E58" i="2"/>
  <c r="H57" i="2"/>
  <c r="E57" i="2"/>
  <c r="I56" i="2"/>
  <c r="H56" i="2"/>
  <c r="J56" i="2" s="1"/>
  <c r="F56" i="2"/>
  <c r="E56" i="2"/>
  <c r="G56" i="2" s="1"/>
  <c r="H55" i="2"/>
  <c r="E55" i="2"/>
  <c r="H54" i="2"/>
  <c r="E54" i="2"/>
  <c r="I53" i="2"/>
  <c r="H53" i="2"/>
  <c r="F53" i="2"/>
  <c r="E53" i="2"/>
  <c r="I52" i="2"/>
  <c r="H52" i="2"/>
  <c r="J52" i="2" s="1"/>
  <c r="F52" i="2"/>
  <c r="E52" i="2"/>
  <c r="I51" i="2"/>
  <c r="H51" i="2"/>
  <c r="F51" i="2"/>
  <c r="E51" i="2"/>
  <c r="H50" i="2"/>
  <c r="E50" i="2"/>
  <c r="H49" i="2"/>
  <c r="E49" i="2"/>
  <c r="G49" i="2" s="1"/>
  <c r="I48" i="2"/>
  <c r="H48" i="2"/>
  <c r="F48" i="2"/>
  <c r="E48" i="2"/>
  <c r="G48" i="2" s="1"/>
  <c r="I47" i="2"/>
  <c r="F47" i="2"/>
  <c r="H46" i="2"/>
  <c r="J46" i="2" s="1"/>
  <c r="E46" i="2"/>
  <c r="I45" i="2"/>
  <c r="J45" i="2" s="1"/>
  <c r="H45" i="2"/>
  <c r="F45" i="2"/>
  <c r="E45" i="2"/>
  <c r="H44" i="2"/>
  <c r="J44" i="2" s="1"/>
  <c r="E44" i="2"/>
  <c r="H43" i="2"/>
  <c r="E43" i="2"/>
  <c r="I42" i="2"/>
  <c r="H42" i="2"/>
  <c r="F42" i="2"/>
  <c r="E42" i="2"/>
  <c r="I41" i="2"/>
  <c r="H41" i="2"/>
  <c r="J41" i="2" s="1"/>
  <c r="F41" i="2"/>
  <c r="E41" i="2"/>
  <c r="I40" i="2"/>
  <c r="H40" i="2"/>
  <c r="F40" i="2"/>
  <c r="E40" i="2"/>
  <c r="H39" i="2"/>
  <c r="E39" i="2"/>
  <c r="I38" i="2"/>
  <c r="H38" i="2"/>
  <c r="F38" i="2"/>
  <c r="G38" i="2" s="1"/>
  <c r="E38" i="2"/>
  <c r="H37" i="2"/>
  <c r="E37" i="2"/>
  <c r="H36" i="2"/>
  <c r="E36" i="2"/>
  <c r="H35" i="2"/>
  <c r="E34" i="2"/>
  <c r="I33" i="2"/>
  <c r="J33" i="2" s="1"/>
  <c r="H33" i="2"/>
  <c r="F33" i="2"/>
  <c r="E33" i="2"/>
  <c r="H32" i="2"/>
  <c r="E32" i="2"/>
  <c r="H31" i="2"/>
  <c r="J31" i="2" s="1"/>
  <c r="E31" i="2"/>
  <c r="G31" i="2" s="1"/>
  <c r="H30" i="2"/>
  <c r="J30" i="2"/>
  <c r="E30" i="2"/>
  <c r="H29" i="2"/>
  <c r="E29" i="2"/>
  <c r="H28" i="2"/>
  <c r="J28" i="2" s="1"/>
  <c r="E28" i="2"/>
  <c r="H27" i="2"/>
  <c r="E27" i="2"/>
  <c r="H26" i="2"/>
  <c r="E26" i="2"/>
  <c r="I25" i="2"/>
  <c r="H25" i="2"/>
  <c r="F25" i="2"/>
  <c r="G25" i="2" s="1"/>
  <c r="E25" i="2"/>
  <c r="I24" i="2"/>
  <c r="F24" i="2"/>
  <c r="I23" i="2"/>
  <c r="H23" i="2"/>
  <c r="F23" i="2"/>
  <c r="E23" i="2"/>
  <c r="G23" i="2" s="1"/>
  <c r="F22" i="2"/>
  <c r="G22" i="2" s="1"/>
  <c r="I21" i="2"/>
  <c r="J21" i="2" s="1"/>
  <c r="H21" i="2"/>
  <c r="F21" i="2"/>
  <c r="E21" i="2"/>
  <c r="G21" i="2" s="1"/>
  <c r="H20" i="2"/>
  <c r="J20" i="2" s="1"/>
  <c r="E20" i="2"/>
  <c r="H19" i="2"/>
  <c r="J19" i="2" s="1"/>
  <c r="E19" i="2"/>
  <c r="H18" i="2"/>
  <c r="E18" i="2"/>
  <c r="H17" i="2"/>
  <c r="E17" i="2"/>
  <c r="G17" i="2" s="1"/>
  <c r="J59" i="2"/>
  <c r="J58" i="2"/>
  <c r="G58" i="2"/>
  <c r="J57" i="2"/>
  <c r="G57" i="2"/>
  <c r="J55" i="2"/>
  <c r="G55" i="2"/>
  <c r="J54" i="2"/>
  <c r="G54" i="2"/>
  <c r="J53" i="2"/>
  <c r="G53" i="2"/>
  <c r="G52" i="2"/>
  <c r="J51" i="2"/>
  <c r="G51" i="2"/>
  <c r="J50" i="2"/>
  <c r="G50" i="2"/>
  <c r="J49" i="2"/>
  <c r="J48" i="2"/>
  <c r="J47" i="2"/>
  <c r="G47" i="2"/>
  <c r="G46" i="2"/>
  <c r="G45" i="2"/>
  <c r="G44" i="2"/>
  <c r="J43" i="2"/>
  <c r="G43" i="2"/>
  <c r="J42" i="2"/>
  <c r="G41" i="2"/>
  <c r="G40" i="2"/>
  <c r="J39" i="2"/>
  <c r="G39" i="2"/>
  <c r="J37" i="2"/>
  <c r="G37" i="2"/>
  <c r="J36" i="2"/>
  <c r="G36" i="2"/>
  <c r="J35" i="2"/>
  <c r="J34" i="2"/>
  <c r="G34" i="2"/>
  <c r="G33" i="2"/>
  <c r="J32" i="2"/>
  <c r="G32" i="2"/>
  <c r="G30" i="2"/>
  <c r="J29" i="2"/>
  <c r="G29" i="2"/>
  <c r="G28" i="2"/>
  <c r="J27" i="2"/>
  <c r="G27" i="2"/>
  <c r="J26" i="2"/>
  <c r="G26" i="2"/>
  <c r="J24" i="2"/>
  <c r="G24" i="2"/>
  <c r="J22" i="2"/>
  <c r="G20" i="2"/>
  <c r="G19" i="2"/>
  <c r="J18" i="2"/>
  <c r="G18" i="2"/>
  <c r="J17" i="2"/>
  <c r="G42" i="2" l="1"/>
  <c r="I67" i="2"/>
  <c r="J40" i="2"/>
  <c r="J38" i="2"/>
  <c r="J25" i="2"/>
  <c r="F67" i="2"/>
  <c r="J23" i="2"/>
  <c r="H67" i="2"/>
  <c r="J67" i="2"/>
  <c r="G67" i="2"/>
  <c r="E67" i="2"/>
  <c r="H67" i="1"/>
  <c r="I67" i="1"/>
  <c r="F67" i="1"/>
  <c r="G67" i="1"/>
  <c r="E67" i="1"/>
  <c r="J56" i="1"/>
  <c r="G56" i="1"/>
  <c r="J50" i="1"/>
  <c r="G50" i="1"/>
  <c r="J59" i="1"/>
  <c r="G59" i="1"/>
  <c r="J58" i="1"/>
  <c r="G58" i="1"/>
  <c r="J57" i="1"/>
  <c r="G57" i="1"/>
  <c r="J42" i="1"/>
  <c r="G42" i="1"/>
  <c r="J25" i="1"/>
  <c r="G25" i="1"/>
  <c r="J55" i="1"/>
  <c r="G55" i="1"/>
  <c r="J54" i="1"/>
  <c r="G54" i="1"/>
  <c r="J21" i="1"/>
  <c r="G21" i="1"/>
  <c r="J20" i="1"/>
  <c r="G20" i="1"/>
  <c r="J22" i="1"/>
  <c r="G22" i="1"/>
  <c r="J51" i="1"/>
  <c r="G51" i="1"/>
  <c r="J49" i="1"/>
  <c r="G49" i="1"/>
  <c r="J24" i="1"/>
  <c r="G24" i="1"/>
  <c r="J47" i="1"/>
  <c r="G47" i="1"/>
  <c r="J19" i="1"/>
  <c r="G19" i="1"/>
  <c r="G40" i="1"/>
  <c r="J52" i="1"/>
  <c r="G52" i="1"/>
  <c r="J48" i="1"/>
  <c r="G48" i="1"/>
  <c r="J46" i="1"/>
  <c r="G46" i="1"/>
  <c r="J45" i="1"/>
  <c r="G45" i="1"/>
  <c r="J44" i="1"/>
  <c r="G44" i="1"/>
  <c r="J43" i="1"/>
  <c r="G43" i="1"/>
  <c r="J41" i="1"/>
  <c r="G41" i="1"/>
  <c r="J40" i="1"/>
  <c r="G18" i="1"/>
  <c r="J18" i="1"/>
  <c r="J31" i="1"/>
  <c r="G31" i="1"/>
  <c r="J33" i="1"/>
  <c r="G33" i="1"/>
  <c r="J53" i="1"/>
  <c r="G53" i="1"/>
  <c r="J39" i="1"/>
  <c r="G39" i="1"/>
  <c r="J38" i="1"/>
  <c r="G38" i="1"/>
  <c r="J37" i="1"/>
  <c r="G37" i="1"/>
  <c r="J36" i="1"/>
  <c r="G36" i="1"/>
  <c r="J35" i="1"/>
  <c r="G35" i="1"/>
  <c r="J34" i="1"/>
  <c r="G34" i="1"/>
  <c r="J30" i="1"/>
  <c r="G30" i="1"/>
  <c r="J29" i="1"/>
  <c r="G29" i="1"/>
  <c r="J32" i="1"/>
  <c r="G32" i="1"/>
  <c r="J28" i="1"/>
  <c r="G28" i="1"/>
  <c r="J27" i="1"/>
  <c r="G27" i="1"/>
  <c r="J23" i="1"/>
  <c r="J26" i="1"/>
  <c r="G23" i="1"/>
  <c r="G26" i="1"/>
  <c r="J67" i="1" l="1"/>
  <c r="J17" i="1"/>
  <c r="G17" i="1"/>
</calcChain>
</file>

<file path=xl/sharedStrings.xml><?xml version="1.0" encoding="utf-8"?>
<sst xmlns="http://schemas.openxmlformats.org/spreadsheetml/2006/main" count="338" uniqueCount="112">
  <si>
    <t>ЗАТВЕРДЖЕНО</t>
  </si>
  <si>
    <t>фінансів України</t>
  </si>
  <si>
    <t>Наказ Міністерства</t>
  </si>
  <si>
    <t xml:space="preserve">01.12.2010  N 1489 </t>
  </si>
  <si>
    <t>Інформація про виконання видатків на реалізацію державних цільових програм, які виконуються в межах бюджетної програми</t>
  </si>
  <si>
    <t xml:space="preserve">Виконавчий комітет Сумської міської ради </t>
  </si>
  <si>
    <t>(найменування головного розпорядника коштів державного бюджету)</t>
  </si>
  <si>
    <t>Назва державної цільової програми</t>
  </si>
  <si>
    <t>Код державної цільової
програми</t>
  </si>
  <si>
    <t>Код програмної класифікації видатків та кредитування</t>
  </si>
  <si>
    <t xml:space="preserve">Найменування згідно з програмною класифікацією видатків та кредитування </t>
  </si>
  <si>
    <t>Затверджено на звітний період</t>
  </si>
  <si>
    <t>Виконано за звітний період</t>
  </si>
  <si>
    <t>загальний
фонд</t>
  </si>
  <si>
    <t>спеціальний
фонд</t>
  </si>
  <si>
    <t>разом</t>
  </si>
  <si>
    <t>(тис.грн.)</t>
  </si>
  <si>
    <t>Начальник відділу бухгалтерського обліку та звітності, головний бухгалтер</t>
  </si>
  <si>
    <t>О.А.Костенко</t>
  </si>
  <si>
    <t>(підпис)</t>
  </si>
  <si>
    <t>(ініціали та прізвище)</t>
  </si>
  <si>
    <t>за 2017 рік</t>
  </si>
  <si>
    <t>0111</t>
  </si>
  <si>
    <t>Керівництво і управління у відповідній сфері у містах, селищах, селах</t>
  </si>
  <si>
    <t>0310180</t>
  </si>
  <si>
    <t xml:space="preserve">Міська програма «Відкритий інформаційний простір м.Суми» на 2016-2018 роки </t>
  </si>
  <si>
    <t>Компенсаційні виплати на пільговий проїзд автомобільним транспортом окремим категоріям громадян</t>
  </si>
  <si>
    <t>0313035</t>
  </si>
  <si>
    <t>Комплексна міська програма «Освіта м.Суми на 2016-2018 роки»</t>
  </si>
  <si>
    <t>1070</t>
  </si>
  <si>
    <t>Компенсаційні виплати на пільговий проїзд електротранспортом окремим категоріям громадян</t>
  </si>
  <si>
    <t>Програма «Молодь міста Суми на 2016-2018 роки»</t>
  </si>
  <si>
    <t>0313038</t>
  </si>
  <si>
    <t>1040</t>
  </si>
  <si>
    <t>0313132</t>
  </si>
  <si>
    <t>Програми і заходи центрів соціальних служб для сім'ї, дітей та молоді</t>
  </si>
  <si>
    <t>0313141</t>
  </si>
  <si>
    <t>0313160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</si>
  <si>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</si>
  <si>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Здійснення заходів та реалізація проетів на виконання Державної цільової соціальної програми «Молодь України»</t>
  </si>
  <si>
    <t>1090</t>
  </si>
  <si>
    <t>Міська програма «Місто Суми – територія добра та милосердя на 2016 – 2018 роки»</t>
  </si>
  <si>
    <t>0313400</t>
  </si>
  <si>
    <t>Інші видатки на соціальний захист населення</t>
  </si>
  <si>
    <t>0313500</t>
  </si>
  <si>
    <t>Інші видатки</t>
  </si>
  <si>
    <t>Міська цільова програма «Соціальні служби готові прийти на допомогу на 2016 – 2018 роки»</t>
  </si>
  <si>
    <t>0314200</t>
  </si>
  <si>
    <t>Iншi культурно-освiтнi заклади та заходи</t>
  </si>
  <si>
    <t>0829</t>
  </si>
  <si>
    <t>0810</t>
  </si>
  <si>
    <t>Програма  «Фізична культура і спорт  міста Суми на 2016 - 2018 роки»</t>
  </si>
  <si>
    <t>0315011</t>
  </si>
  <si>
    <t>Проведення спортивної роботи в регіоні</t>
  </si>
  <si>
    <t>0315012</t>
  </si>
  <si>
    <t>Проведення навчально-тренувальних зборів і змагань з неолімпійських видів спорту</t>
  </si>
  <si>
    <t>Міська програма «Соціальна підтримка учасників антитерористичної операції та членів їх сімей» на 2017-2019 роки»</t>
  </si>
  <si>
    <t>0315031</t>
  </si>
  <si>
    <t>Утримання та навчально-тренувальна робота комунальних дитячо-юнацьких спортивних шкіл</t>
  </si>
  <si>
    <t>0315032</t>
  </si>
  <si>
    <t>Фінансова підтримка дитячо-юнацьких спортивних шкіл фізкультурно-спортивних товариств</t>
  </si>
  <si>
    <t>0315061</t>
  </si>
  <si>
    <t>Забезпечення діяльності місцевих центрів фізичного здоров'я населення «Спорт для всіх» та проведення фізкультурно-масових заходів серед населення регіону</t>
  </si>
  <si>
    <t>0315062</t>
  </si>
  <si>
    <t>Підтримка спорту вищих досягнень та організацій, які здійснюють фізкультурно-спортивну діяльність в регіоні</t>
  </si>
  <si>
    <t xml:space="preserve">Міська цільова (комплексна) Програма розвитку міського пасажирського транспорту м. Суми на 2016-2018 роки </t>
  </si>
  <si>
    <t>0316610</t>
  </si>
  <si>
    <t>Регулювання цін на послуги місцевого автотранспорту</t>
  </si>
  <si>
    <t>0451</t>
  </si>
  <si>
    <t>0453</t>
  </si>
  <si>
    <t>0316632</t>
  </si>
  <si>
    <t>Регулювання цін на послуги міського електротранспорту</t>
  </si>
  <si>
    <t>0455</t>
  </si>
  <si>
    <t>0316640</t>
  </si>
  <si>
    <t>Інші заходи у сфері електротранспорту</t>
  </si>
  <si>
    <t>0316800</t>
  </si>
  <si>
    <t>Інші заходи у сфері автомобільного транспорту</t>
  </si>
  <si>
    <t>0830</t>
  </si>
  <si>
    <t>0317213</t>
  </si>
  <si>
    <t>Підтримка книговидання</t>
  </si>
  <si>
    <t>0411</t>
  </si>
  <si>
    <t>Цільова Програма підтримки малого та середнього підприємництва в м.Суми на 2017-2019 роки</t>
  </si>
  <si>
    <t>0317450</t>
  </si>
  <si>
    <t>Сприяння розвитку малого та середнього підприємництва</t>
  </si>
  <si>
    <t>0490</t>
  </si>
  <si>
    <t>0317470</t>
  </si>
  <si>
    <t>Внески до статутного капіталу суб’єктів господарювання</t>
  </si>
  <si>
    <t>0317500</t>
  </si>
  <si>
    <t>0133</t>
  </si>
  <si>
    <t>0318600</t>
  </si>
  <si>
    <t>Інші заходи, пов'язані з економічною діяльністю</t>
  </si>
  <si>
    <t>0319180</t>
  </si>
  <si>
    <t>Цільові фонди, утворені Верховною Радою Автономної Республіки Крим, органами місцевого самоврядування і місцевими органами виконавчої влади</t>
  </si>
  <si>
    <t>0220</t>
  </si>
  <si>
    <t>Міська цільова Програма   захисту  населення   і території м. Суми від надзвичайних ситуацій техногенного та природного характеру на 2014-2018роки</t>
  </si>
  <si>
    <t>0317820</t>
  </si>
  <si>
    <t>Заходи у сфері захисту населення і територій від надзвичайних ситуацій техногенного та природного характеру</t>
  </si>
  <si>
    <t>Міська цільова «Програма з військово-патріотичного виховання молоді, сприяння організації призову громадян на строкову військову службу до Збройних Сил України та військовим формуванням, розташованим на території міста Суми, у проведенні заходів з оборони та мобілізації на 2017 рік»</t>
  </si>
  <si>
    <t>0180</t>
  </si>
  <si>
    <t>0318370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</si>
  <si>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</si>
  <si>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Програма економічного і соціального розвитку м. Суми на 2017 рік</t>
  </si>
  <si>
    <t>Міська комплексна програма «Правопорядок» на період 2016-2018роки</t>
  </si>
  <si>
    <t xml:space="preserve">Міська програма «Автоматизація муніципальних телекомунікаційних систем на 2017 - 2019 роки в м.Суми» </t>
  </si>
  <si>
    <t>Програма підвищення енергоефективності в бюджетній сфері місті Суми на 2017-2019 роки</t>
  </si>
  <si>
    <t>Міська «Програма фінансового забезпечення відзначення на території міста державних, професійних свят, ювілейних дат та інших подій на 2017-2019 роки»</t>
  </si>
  <si>
    <t>0318800</t>
  </si>
  <si>
    <t>Інші субвенції</t>
  </si>
  <si>
    <t>0540</t>
  </si>
  <si>
    <t>Комплексна програма охорони навколишнього природного середовища м.Суми на 2016-2018 роки</t>
  </si>
  <si>
    <t>0319140</t>
  </si>
  <si>
    <t>Інша діяльність у сфері охорони навколишнього природного середовища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</si>
</sst>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rgb="FF292B2C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.5"/>
      <color rgb="FF000000"/>
      <name val="Times New Roman"/>
      <family val="1"/>
      <charset val="204"/>
    </font>
    <font>
      <sz val="11.5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70C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/>
    <xf numFmtId="0" fontId="9" fillId="0" borderId="0" xfId="0" applyFont="1" applyFill="1" applyAlignment="1"/>
    <xf numFmtId="49" fontId="9" fillId="0" borderId="0" xfId="0" applyNumberFormat="1" applyFont="1" applyAlignment="1">
      <alignment horizontal="center" vertical="center"/>
    </xf>
    <xf numFmtId="0" fontId="9" fillId="0" borderId="0" xfId="0" applyFont="1" applyAlignment="1"/>
    <xf numFmtId="0" fontId="9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0" fillId="0" borderId="0" xfId="0" applyFont="1" applyFill="1" applyAlignment="1">
      <alignment wrapText="1"/>
    </xf>
    <xf numFmtId="0" fontId="9" fillId="0" borderId="7" xfId="0" applyFont="1" applyFill="1" applyBorder="1" applyAlignment="1"/>
    <xf numFmtId="0" fontId="9" fillId="0" borderId="0" xfId="0" applyFont="1" applyFill="1" applyBorder="1" applyAlignment="1"/>
    <xf numFmtId="0" fontId="9" fillId="0" borderId="0" xfId="0" applyFont="1" applyBorder="1" applyAlignment="1">
      <alignment vertical="top"/>
    </xf>
    <xf numFmtId="0" fontId="9" fillId="0" borderId="8" xfId="0" applyFont="1" applyBorder="1" applyAlignment="1">
      <alignment horizontal="center" vertical="top"/>
    </xf>
    <xf numFmtId="49" fontId="3" fillId="0" borderId="1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top"/>
    </xf>
    <xf numFmtId="0" fontId="5" fillId="0" borderId="0" xfId="0" applyFont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49" fontId="12" fillId="0" borderId="1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2" fontId="14" fillId="0" borderId="0" xfId="0" applyNumberFormat="1" applyFont="1"/>
    <xf numFmtId="0" fontId="14" fillId="0" borderId="0" xfId="0" applyFont="1"/>
    <xf numFmtId="0" fontId="3" fillId="0" borderId="1" xfId="0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6" xfId="0" applyFont="1" applyFill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top"/>
    </xf>
    <xf numFmtId="0" fontId="10" fillId="0" borderId="7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 vertical="top"/>
    </xf>
    <xf numFmtId="0" fontId="10" fillId="0" borderId="0" xfId="0" applyFont="1" applyFill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0"/>
  <sheetViews>
    <sheetView tabSelected="1" view="pageBreakPreview" topLeftCell="C6" zoomScale="115" zoomScaleNormal="100" zoomScaleSheetLayoutView="115" workbookViewId="0">
      <selection activeCell="F18" sqref="F18"/>
    </sheetView>
  </sheetViews>
  <sheetFormatPr defaultRowHeight="14.4" x14ac:dyDescent="0.3"/>
  <cols>
    <col min="1" max="1" width="10.21875" customWidth="1"/>
    <col min="2" max="2" width="31.21875" customWidth="1"/>
    <col min="3" max="3" width="11.6640625" customWidth="1"/>
    <col min="4" max="4" width="35" customWidth="1"/>
    <col min="5" max="5" width="12.21875" customWidth="1"/>
    <col min="6" max="6" width="11.21875" customWidth="1"/>
    <col min="7" max="7" width="9.88671875" customWidth="1"/>
    <col min="8" max="8" width="11.5546875" customWidth="1"/>
    <col min="9" max="9" width="10.21875" customWidth="1"/>
    <col min="10" max="10" width="10.5546875" customWidth="1"/>
  </cols>
  <sheetData>
    <row r="1" spans="1:15" s="3" customFormat="1" ht="13.2" x14ac:dyDescent="0.25">
      <c r="I1" s="2" t="s">
        <v>0</v>
      </c>
      <c r="M1" s="2"/>
      <c r="O1" s="2" t="s">
        <v>0</v>
      </c>
    </row>
    <row r="2" spans="1:15" s="3" customFormat="1" ht="13.2" x14ac:dyDescent="0.25">
      <c r="I2" s="2" t="s">
        <v>2</v>
      </c>
      <c r="M2" s="2"/>
      <c r="O2" s="2" t="s">
        <v>2</v>
      </c>
    </row>
    <row r="3" spans="1:15" s="3" customFormat="1" ht="13.2" x14ac:dyDescent="0.25">
      <c r="I3" s="2" t="s">
        <v>1</v>
      </c>
      <c r="M3" s="2"/>
      <c r="O3" s="2" t="s">
        <v>1</v>
      </c>
    </row>
    <row r="4" spans="1:15" s="3" customFormat="1" ht="13.2" x14ac:dyDescent="0.25">
      <c r="I4" s="2" t="s">
        <v>3</v>
      </c>
      <c r="M4" s="2"/>
      <c r="O4" s="2" t="s">
        <v>3</v>
      </c>
    </row>
    <row r="5" spans="1:15" s="1" customFormat="1" ht="13.8" x14ac:dyDescent="0.25"/>
    <row r="6" spans="1:15" s="4" customFormat="1" ht="13.8" x14ac:dyDescent="0.25">
      <c r="A6" s="45" t="s">
        <v>4</v>
      </c>
      <c r="B6" s="45"/>
      <c r="C6" s="45"/>
      <c r="D6" s="45"/>
      <c r="E6" s="45"/>
      <c r="F6" s="45"/>
      <c r="G6" s="45"/>
      <c r="H6" s="45"/>
      <c r="I6" s="45"/>
      <c r="J6" s="45"/>
    </row>
    <row r="7" spans="1:15" s="1" customFormat="1" ht="13.8" x14ac:dyDescent="0.25"/>
    <row r="8" spans="1:15" s="1" customFormat="1" ht="13.8" x14ac:dyDescent="0.25">
      <c r="A8" s="46" t="s">
        <v>5</v>
      </c>
      <c r="B8" s="46"/>
      <c r="C8" s="46"/>
      <c r="D8" s="46"/>
      <c r="E8" s="46"/>
      <c r="F8" s="46"/>
      <c r="G8" s="46"/>
      <c r="H8" s="46"/>
      <c r="I8" s="46"/>
      <c r="J8" s="46"/>
    </row>
    <row r="9" spans="1:15" s="1" customFormat="1" ht="12" customHeight="1" x14ac:dyDescent="0.25">
      <c r="A9" s="47" t="s">
        <v>6</v>
      </c>
      <c r="B9" s="47"/>
      <c r="C9" s="47"/>
      <c r="D9" s="47"/>
      <c r="E9" s="47"/>
      <c r="F9" s="47"/>
      <c r="G9" s="47"/>
      <c r="H9" s="47"/>
      <c r="I9" s="47"/>
      <c r="J9" s="47"/>
    </row>
    <row r="10" spans="1:15" s="1" customFormat="1" ht="9" customHeight="1" x14ac:dyDescent="0.25"/>
    <row r="11" spans="1:15" s="1" customFormat="1" ht="12.6" customHeight="1" x14ac:dyDescent="0.25">
      <c r="A11" s="48" t="s">
        <v>21</v>
      </c>
      <c r="B11" s="48"/>
      <c r="C11" s="48"/>
      <c r="D11" s="48"/>
      <c r="E11" s="48"/>
      <c r="F11" s="48"/>
      <c r="G11" s="48"/>
      <c r="H11" s="48"/>
      <c r="I11" s="48"/>
      <c r="J11" s="48"/>
    </row>
    <row r="12" spans="1:15" s="1" customFormat="1" ht="6" customHeight="1" x14ac:dyDescent="0.25">
      <c r="A12" s="26"/>
      <c r="B12" s="26"/>
      <c r="C12" s="26"/>
      <c r="D12" s="26"/>
      <c r="E12" s="26"/>
      <c r="F12" s="26"/>
      <c r="G12" s="26"/>
      <c r="H12" s="26"/>
      <c r="I12" s="26"/>
      <c r="J12" s="26"/>
    </row>
    <row r="13" spans="1:15" s="1" customFormat="1" ht="15" x14ac:dyDescent="0.25">
      <c r="A13" s="26"/>
      <c r="J13" s="9" t="s">
        <v>16</v>
      </c>
    </row>
    <row r="14" spans="1:15" s="6" customFormat="1" ht="31.8" customHeight="1" x14ac:dyDescent="0.3">
      <c r="A14" s="49" t="s">
        <v>8</v>
      </c>
      <c r="B14" s="49" t="s">
        <v>7</v>
      </c>
      <c r="C14" s="49" t="s">
        <v>9</v>
      </c>
      <c r="D14" s="49" t="s">
        <v>10</v>
      </c>
      <c r="E14" s="55" t="s">
        <v>11</v>
      </c>
      <c r="F14" s="56"/>
      <c r="G14" s="57"/>
      <c r="H14" s="55" t="s">
        <v>12</v>
      </c>
      <c r="I14" s="56"/>
      <c r="J14" s="57"/>
    </row>
    <row r="15" spans="1:15" s="1" customFormat="1" ht="39" customHeight="1" x14ac:dyDescent="0.25">
      <c r="A15" s="50"/>
      <c r="B15" s="50"/>
      <c r="C15" s="50"/>
      <c r="D15" s="50"/>
      <c r="E15" s="7" t="s">
        <v>13</v>
      </c>
      <c r="F15" s="7" t="s">
        <v>14</v>
      </c>
      <c r="G15" s="8" t="s">
        <v>15</v>
      </c>
      <c r="H15" s="7" t="s">
        <v>13</v>
      </c>
      <c r="I15" s="7" t="s">
        <v>14</v>
      </c>
      <c r="J15" s="8" t="s">
        <v>15</v>
      </c>
    </row>
    <row r="16" spans="1:15" s="11" customFormat="1" ht="10.199999999999999" x14ac:dyDescent="0.2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  <c r="G16" s="10">
        <v>7</v>
      </c>
      <c r="H16" s="10">
        <v>8</v>
      </c>
      <c r="I16" s="10">
        <v>9</v>
      </c>
      <c r="J16" s="10">
        <v>10</v>
      </c>
    </row>
    <row r="17" spans="1:10" s="3" customFormat="1" ht="23.4" customHeight="1" x14ac:dyDescent="0.25">
      <c r="A17" s="22" t="s">
        <v>22</v>
      </c>
      <c r="B17" s="39" t="s">
        <v>25</v>
      </c>
      <c r="C17" s="22" t="s">
        <v>24</v>
      </c>
      <c r="D17" s="24" t="s">
        <v>23</v>
      </c>
      <c r="E17" s="58">
        <f>885600/1000</f>
        <v>885.6</v>
      </c>
      <c r="F17" s="58"/>
      <c r="G17" s="58">
        <f t="shared" ref="G17:G59" si="0">E17+F17</f>
        <v>885.6</v>
      </c>
      <c r="H17" s="58">
        <f>884239.49/1000</f>
        <v>884.23949000000005</v>
      </c>
      <c r="I17" s="58"/>
      <c r="J17" s="58">
        <f t="shared" ref="J17:J59" si="1">H17+I17</f>
        <v>884.23949000000005</v>
      </c>
    </row>
    <row r="18" spans="1:10" s="3" customFormat="1" ht="16.2" customHeight="1" x14ac:dyDescent="0.25">
      <c r="A18" s="22" t="s">
        <v>49</v>
      </c>
      <c r="B18" s="40"/>
      <c r="C18" s="22" t="s">
        <v>47</v>
      </c>
      <c r="D18" s="24" t="s">
        <v>48</v>
      </c>
      <c r="E18" s="58">
        <f>353416/1000</f>
        <v>353.416</v>
      </c>
      <c r="F18" s="58"/>
      <c r="G18" s="58">
        <f t="shared" si="0"/>
        <v>353.416</v>
      </c>
      <c r="H18" s="58">
        <f>352842.22/1000</f>
        <v>352.84222</v>
      </c>
      <c r="I18" s="58"/>
      <c r="J18" s="58">
        <f t="shared" si="1"/>
        <v>352.84222</v>
      </c>
    </row>
    <row r="19" spans="1:10" s="3" customFormat="1" ht="16.2" customHeight="1" x14ac:dyDescent="0.25">
      <c r="A19" s="22" t="s">
        <v>77</v>
      </c>
      <c r="B19" s="40"/>
      <c r="C19" s="22" t="s">
        <v>78</v>
      </c>
      <c r="D19" s="24" t="s">
        <v>79</v>
      </c>
      <c r="E19" s="58">
        <f>326084/1000</f>
        <v>326.084</v>
      </c>
      <c r="F19" s="58"/>
      <c r="G19" s="58">
        <f t="shared" si="0"/>
        <v>326.084</v>
      </c>
      <c r="H19" s="58">
        <f>258976.6/1000</f>
        <v>258.97660000000002</v>
      </c>
      <c r="I19" s="58"/>
      <c r="J19" s="58">
        <f t="shared" si="1"/>
        <v>258.97660000000002</v>
      </c>
    </row>
    <row r="20" spans="1:10" s="3" customFormat="1" ht="15" customHeight="1" x14ac:dyDescent="0.25">
      <c r="A20" s="22" t="s">
        <v>80</v>
      </c>
      <c r="B20" s="40"/>
      <c r="C20" s="22" t="s">
        <v>87</v>
      </c>
      <c r="D20" s="24" t="s">
        <v>90</v>
      </c>
      <c r="E20" s="58">
        <f>294800/1000</f>
        <v>294.8</v>
      </c>
      <c r="F20" s="58"/>
      <c r="G20" s="58">
        <f t="shared" si="0"/>
        <v>294.8</v>
      </c>
      <c r="H20" s="58">
        <f>207005.5/1000</f>
        <v>207.00550000000001</v>
      </c>
      <c r="I20" s="58"/>
      <c r="J20" s="58">
        <f t="shared" si="1"/>
        <v>207.00550000000001</v>
      </c>
    </row>
    <row r="21" spans="1:10" s="3" customFormat="1" ht="16.2" customHeight="1" x14ac:dyDescent="0.25">
      <c r="A21" s="22" t="s">
        <v>88</v>
      </c>
      <c r="B21" s="40"/>
      <c r="C21" s="22" t="s">
        <v>89</v>
      </c>
      <c r="D21" s="24" t="s">
        <v>45</v>
      </c>
      <c r="E21" s="58">
        <f>1157350/1000</f>
        <v>1157.3499999999999</v>
      </c>
      <c r="F21" s="58">
        <f>26000/1000</f>
        <v>26</v>
      </c>
      <c r="G21" s="58">
        <f t="shared" si="0"/>
        <v>1183.3499999999999</v>
      </c>
      <c r="H21" s="58">
        <f>947722.98/1000</f>
        <v>947.72298000000001</v>
      </c>
      <c r="I21" s="58">
        <f>26000/1000</f>
        <v>26</v>
      </c>
      <c r="J21" s="58">
        <f t="shared" si="1"/>
        <v>973.72298000000001</v>
      </c>
    </row>
    <row r="22" spans="1:10" s="3" customFormat="1" ht="52.2" customHeight="1" x14ac:dyDescent="0.25">
      <c r="A22" s="22" t="s">
        <v>88</v>
      </c>
      <c r="B22" s="41"/>
      <c r="C22" s="22" t="s">
        <v>91</v>
      </c>
      <c r="D22" s="24" t="s">
        <v>92</v>
      </c>
      <c r="E22" s="58"/>
      <c r="F22" s="58">
        <f>9600/1000</f>
        <v>9.6</v>
      </c>
      <c r="G22" s="58">
        <f t="shared" si="0"/>
        <v>9.6</v>
      </c>
      <c r="H22" s="58"/>
      <c r="I22" s="58"/>
      <c r="J22" s="58">
        <f t="shared" si="1"/>
        <v>0</v>
      </c>
    </row>
    <row r="23" spans="1:10" s="3" customFormat="1" ht="28.8" customHeight="1" x14ac:dyDescent="0.25">
      <c r="A23" s="22" t="s">
        <v>22</v>
      </c>
      <c r="B23" s="36" t="s">
        <v>103</v>
      </c>
      <c r="C23" s="22" t="s">
        <v>24</v>
      </c>
      <c r="D23" s="24" t="s">
        <v>23</v>
      </c>
      <c r="E23" s="58">
        <f>2575352/1000</f>
        <v>2575.3519999999999</v>
      </c>
      <c r="F23" s="58">
        <f>900000/1000</f>
        <v>900</v>
      </c>
      <c r="G23" s="58">
        <f t="shared" si="0"/>
        <v>3475.3519999999999</v>
      </c>
      <c r="H23" s="58">
        <f>1361148.58/1000</f>
        <v>1361.14858</v>
      </c>
      <c r="I23" s="58">
        <f>899801/1000</f>
        <v>899.80100000000004</v>
      </c>
      <c r="J23" s="58">
        <f t="shared" si="1"/>
        <v>2260.94958</v>
      </c>
    </row>
    <row r="24" spans="1:10" s="3" customFormat="1" ht="24.6" customHeight="1" x14ac:dyDescent="0.25">
      <c r="A24" s="22" t="s">
        <v>84</v>
      </c>
      <c r="B24" s="37"/>
      <c r="C24" s="22" t="s">
        <v>85</v>
      </c>
      <c r="D24" s="24" t="s">
        <v>86</v>
      </c>
      <c r="E24" s="58"/>
      <c r="F24" s="58">
        <f>4625000/1000</f>
        <v>4625</v>
      </c>
      <c r="G24" s="58">
        <f>E24+F24</f>
        <v>4625</v>
      </c>
      <c r="H24" s="58"/>
      <c r="I24" s="58">
        <f>2370172.07/1000</f>
        <v>2370.1720699999996</v>
      </c>
      <c r="J24" s="58">
        <f>H24+I24</f>
        <v>2370.1720699999996</v>
      </c>
    </row>
    <row r="25" spans="1:10" s="3" customFormat="1" ht="18" customHeight="1" x14ac:dyDescent="0.25">
      <c r="A25" s="28" t="s">
        <v>88</v>
      </c>
      <c r="B25" s="30"/>
      <c r="C25" s="22" t="s">
        <v>89</v>
      </c>
      <c r="D25" s="24" t="s">
        <v>45</v>
      </c>
      <c r="E25" s="58">
        <f>4314800/1000</f>
        <v>4314.8</v>
      </c>
      <c r="F25" s="58">
        <f>319000/1000</f>
        <v>319</v>
      </c>
      <c r="G25" s="58">
        <f>E25+F25</f>
        <v>4633.8</v>
      </c>
      <c r="H25" s="58">
        <f>3278936.28/1000</f>
        <v>3278.9362799999999</v>
      </c>
      <c r="I25" s="58">
        <f>304982/1000</f>
        <v>304.98200000000003</v>
      </c>
      <c r="J25" s="58">
        <f>H25+I25</f>
        <v>3583.9182799999999</v>
      </c>
    </row>
    <row r="26" spans="1:10" s="3" customFormat="1" ht="42" customHeight="1" x14ac:dyDescent="0.25">
      <c r="A26" s="42">
        <v>1070</v>
      </c>
      <c r="B26" s="36" t="s">
        <v>28</v>
      </c>
      <c r="C26" s="22" t="s">
        <v>27</v>
      </c>
      <c r="D26" s="24" t="s">
        <v>26</v>
      </c>
      <c r="E26" s="58">
        <f>9867/1000</f>
        <v>9.8670000000000009</v>
      </c>
      <c r="F26" s="58"/>
      <c r="G26" s="58">
        <f t="shared" si="0"/>
        <v>9.8670000000000009</v>
      </c>
      <c r="H26" s="58">
        <f>6037.5/1000</f>
        <v>6.0374999999999996</v>
      </c>
      <c r="I26" s="58"/>
      <c r="J26" s="58">
        <f t="shared" si="1"/>
        <v>6.0374999999999996</v>
      </c>
    </row>
    <row r="27" spans="1:10" s="3" customFormat="1" ht="36" x14ac:dyDescent="0.25">
      <c r="A27" s="44"/>
      <c r="B27" s="37"/>
      <c r="C27" s="22" t="s">
        <v>32</v>
      </c>
      <c r="D27" s="24" t="s">
        <v>30</v>
      </c>
      <c r="E27" s="58">
        <f>26314/1000</f>
        <v>26.314</v>
      </c>
      <c r="F27" s="58"/>
      <c r="G27" s="58">
        <f t="shared" si="0"/>
        <v>26.314</v>
      </c>
      <c r="H27" s="58">
        <f>26314/1000</f>
        <v>26.314</v>
      </c>
      <c r="I27" s="58"/>
      <c r="J27" s="58">
        <f t="shared" si="1"/>
        <v>26.314</v>
      </c>
    </row>
    <row r="28" spans="1:10" s="3" customFormat="1" ht="41.4" customHeight="1" x14ac:dyDescent="0.25">
      <c r="A28" s="22" t="s">
        <v>29</v>
      </c>
      <c r="B28" s="36" t="s">
        <v>31</v>
      </c>
      <c r="C28" s="22" t="s">
        <v>32</v>
      </c>
      <c r="D28" s="24" t="s">
        <v>30</v>
      </c>
      <c r="E28" s="58">
        <f>15000/1000</f>
        <v>15</v>
      </c>
      <c r="F28" s="58"/>
      <c r="G28" s="58">
        <f t="shared" si="0"/>
        <v>15</v>
      </c>
      <c r="H28" s="58">
        <f>4296.5/1000</f>
        <v>4.2965</v>
      </c>
      <c r="I28" s="58"/>
      <c r="J28" s="58">
        <f t="shared" si="1"/>
        <v>4.2965</v>
      </c>
    </row>
    <row r="29" spans="1:10" s="3" customFormat="1" ht="39" customHeight="1" x14ac:dyDescent="0.25">
      <c r="A29" s="42" t="s">
        <v>33</v>
      </c>
      <c r="B29" s="38"/>
      <c r="C29" s="22" t="s">
        <v>36</v>
      </c>
      <c r="D29" s="24" t="s">
        <v>39</v>
      </c>
      <c r="E29" s="58">
        <f>677325/1000</f>
        <v>677.32500000000005</v>
      </c>
      <c r="F29" s="58"/>
      <c r="G29" s="58">
        <f t="shared" si="0"/>
        <v>677.32500000000005</v>
      </c>
      <c r="H29" s="58">
        <f>615768.73/1000</f>
        <v>615.76873000000001</v>
      </c>
      <c r="I29" s="58"/>
      <c r="J29" s="58">
        <f t="shared" si="1"/>
        <v>615.76873000000001</v>
      </c>
    </row>
    <row r="30" spans="1:10" s="3" customFormat="1" ht="66.599999999999994" customHeight="1" x14ac:dyDescent="0.25">
      <c r="A30" s="44"/>
      <c r="B30" s="38"/>
      <c r="C30" s="22" t="s">
        <v>37</v>
      </c>
      <c r="D30" s="24" t="s">
        <v>38</v>
      </c>
      <c r="E30" s="58">
        <f>1571400/1000</f>
        <v>1571.4</v>
      </c>
      <c r="F30" s="58"/>
      <c r="G30" s="58">
        <f t="shared" si="0"/>
        <v>1571.4</v>
      </c>
      <c r="H30" s="58">
        <f>1568305/1000</f>
        <v>1568.3050000000001</v>
      </c>
      <c r="I30" s="58"/>
      <c r="J30" s="58">
        <f t="shared" si="1"/>
        <v>1568.3050000000001</v>
      </c>
    </row>
    <row r="31" spans="1:10" s="3" customFormat="1" ht="15" customHeight="1" x14ac:dyDescent="0.25">
      <c r="A31" s="22" t="s">
        <v>49</v>
      </c>
      <c r="B31" s="37"/>
      <c r="C31" s="22" t="s">
        <v>47</v>
      </c>
      <c r="D31" s="24" t="s">
        <v>48</v>
      </c>
      <c r="E31" s="58">
        <f>675515/1000</f>
        <v>675.51499999999999</v>
      </c>
      <c r="F31" s="58"/>
      <c r="G31" s="58">
        <f t="shared" si="0"/>
        <v>675.51499999999999</v>
      </c>
      <c r="H31" s="58">
        <f>675248.28/1000</f>
        <v>675.24828000000002</v>
      </c>
      <c r="I31" s="58"/>
      <c r="J31" s="58">
        <f>H31+I31</f>
        <v>675.24828000000002</v>
      </c>
    </row>
    <row r="32" spans="1:10" s="3" customFormat="1" ht="28.8" customHeight="1" x14ac:dyDescent="0.25">
      <c r="A32" s="42" t="s">
        <v>33</v>
      </c>
      <c r="B32" s="36" t="s">
        <v>46</v>
      </c>
      <c r="C32" s="22" t="s">
        <v>34</v>
      </c>
      <c r="D32" s="24" t="s">
        <v>35</v>
      </c>
      <c r="E32" s="58">
        <f>48000/1000</f>
        <v>48</v>
      </c>
      <c r="F32" s="58"/>
      <c r="G32" s="58">
        <f t="shared" si="0"/>
        <v>48</v>
      </c>
      <c r="H32" s="58">
        <f>47970/1000</f>
        <v>47.97</v>
      </c>
      <c r="I32" s="58"/>
      <c r="J32" s="58">
        <f t="shared" si="1"/>
        <v>47.97</v>
      </c>
    </row>
    <row r="33" spans="1:10" s="3" customFormat="1" ht="13.2" x14ac:dyDescent="0.25">
      <c r="A33" s="44"/>
      <c r="B33" s="37"/>
      <c r="C33" s="22" t="s">
        <v>44</v>
      </c>
      <c r="D33" s="24" t="s">
        <v>45</v>
      </c>
      <c r="E33" s="58">
        <f>728605/1000</f>
        <v>728.60500000000002</v>
      </c>
      <c r="F33" s="58">
        <f>10000/1000</f>
        <v>10</v>
      </c>
      <c r="G33" s="58">
        <f t="shared" si="0"/>
        <v>738.60500000000002</v>
      </c>
      <c r="H33" s="58">
        <f>717490.83/1000</f>
        <v>717.49082999999996</v>
      </c>
      <c r="I33" s="58">
        <f>9980/1000</f>
        <v>9.98</v>
      </c>
      <c r="J33" s="58">
        <f t="shared" si="1"/>
        <v>727.47082999999998</v>
      </c>
    </row>
    <row r="34" spans="1:10" s="3" customFormat="1" ht="39.6" x14ac:dyDescent="0.25">
      <c r="A34" s="22" t="s">
        <v>40</v>
      </c>
      <c r="B34" s="23" t="s">
        <v>41</v>
      </c>
      <c r="C34" s="22" t="s">
        <v>42</v>
      </c>
      <c r="D34" s="24" t="s">
        <v>43</v>
      </c>
      <c r="E34" s="58">
        <f>143854/1000</f>
        <v>143.85400000000001</v>
      </c>
      <c r="F34" s="58"/>
      <c r="G34" s="58">
        <f t="shared" si="0"/>
        <v>143.85400000000001</v>
      </c>
      <c r="H34" s="58">
        <f>119772.28/1000</f>
        <v>119.77227999999999</v>
      </c>
      <c r="I34" s="58"/>
      <c r="J34" s="58">
        <f t="shared" si="1"/>
        <v>119.77227999999999</v>
      </c>
    </row>
    <row r="35" spans="1:10" s="3" customFormat="1" ht="52.8" x14ac:dyDescent="0.25">
      <c r="A35" s="22" t="s">
        <v>40</v>
      </c>
      <c r="B35" s="23" t="s">
        <v>56</v>
      </c>
      <c r="C35" s="22" t="s">
        <v>42</v>
      </c>
      <c r="D35" s="24" t="s">
        <v>43</v>
      </c>
      <c r="E35" s="58">
        <f>48000/1000</f>
        <v>48</v>
      </c>
      <c r="F35" s="58"/>
      <c r="G35" s="58">
        <f t="shared" si="0"/>
        <v>48</v>
      </c>
      <c r="H35" s="58">
        <f>16152.49/1000</f>
        <v>16.15249</v>
      </c>
      <c r="I35" s="58"/>
      <c r="J35" s="58">
        <f t="shared" si="1"/>
        <v>16.15249</v>
      </c>
    </row>
    <row r="36" spans="1:10" s="3" customFormat="1" ht="15" customHeight="1" x14ac:dyDescent="0.25">
      <c r="A36" s="42" t="s">
        <v>50</v>
      </c>
      <c r="B36" s="36" t="s">
        <v>51</v>
      </c>
      <c r="C36" s="22" t="s">
        <v>52</v>
      </c>
      <c r="D36" s="24" t="s">
        <v>53</v>
      </c>
      <c r="E36" s="58">
        <f>956600/1000</f>
        <v>956.6</v>
      </c>
      <c r="F36" s="58"/>
      <c r="G36" s="58">
        <f t="shared" si="0"/>
        <v>956.6</v>
      </c>
      <c r="H36" s="58">
        <f>946571.51/1000</f>
        <v>946.57150999999999</v>
      </c>
      <c r="I36" s="58"/>
      <c r="J36" s="58">
        <f t="shared" si="1"/>
        <v>946.57150999999999</v>
      </c>
    </row>
    <row r="37" spans="1:10" s="3" customFormat="1" ht="24" x14ac:dyDescent="0.25">
      <c r="A37" s="43"/>
      <c r="B37" s="38"/>
      <c r="C37" s="22" t="s">
        <v>54</v>
      </c>
      <c r="D37" s="24" t="s">
        <v>55</v>
      </c>
      <c r="E37" s="58">
        <f>1108000/1000</f>
        <v>1108</v>
      </c>
      <c r="F37" s="58"/>
      <c r="G37" s="58">
        <f t="shared" si="0"/>
        <v>1108</v>
      </c>
      <c r="H37" s="58">
        <f>1073474.51/1000</f>
        <v>1073.47451</v>
      </c>
      <c r="I37" s="58"/>
      <c r="J37" s="58">
        <f t="shared" si="1"/>
        <v>1073.47451</v>
      </c>
    </row>
    <row r="38" spans="1:10" s="3" customFormat="1" ht="24" x14ac:dyDescent="0.25">
      <c r="A38" s="43"/>
      <c r="B38" s="38"/>
      <c r="C38" s="22" t="s">
        <v>57</v>
      </c>
      <c r="D38" s="24" t="s">
        <v>58</v>
      </c>
      <c r="E38" s="58">
        <f>7603943/1000</f>
        <v>7603.9430000000002</v>
      </c>
      <c r="F38" s="58">
        <f>249000/1000</f>
        <v>249</v>
      </c>
      <c r="G38" s="58">
        <f t="shared" si="0"/>
        <v>7852.9430000000002</v>
      </c>
      <c r="H38" s="58">
        <f>7509620.06/1000</f>
        <v>7509.6200599999993</v>
      </c>
      <c r="I38" s="58">
        <f>222393.96/1000</f>
        <v>222.39395999999999</v>
      </c>
      <c r="J38" s="58">
        <f t="shared" si="1"/>
        <v>7732.0140199999996</v>
      </c>
    </row>
    <row r="39" spans="1:10" s="3" customFormat="1" ht="36" x14ac:dyDescent="0.25">
      <c r="A39" s="43"/>
      <c r="B39" s="38"/>
      <c r="C39" s="22" t="s">
        <v>59</v>
      </c>
      <c r="D39" s="24" t="s">
        <v>60</v>
      </c>
      <c r="E39" s="58">
        <f>6197523/1000</f>
        <v>6197.5230000000001</v>
      </c>
      <c r="F39" s="58"/>
      <c r="G39" s="58">
        <f t="shared" si="0"/>
        <v>6197.5230000000001</v>
      </c>
      <c r="H39" s="58">
        <f>6189641.59/1000</f>
        <v>6189.6415900000002</v>
      </c>
      <c r="I39" s="58"/>
      <c r="J39" s="58">
        <f t="shared" si="1"/>
        <v>6189.6415900000002</v>
      </c>
    </row>
    <row r="40" spans="1:10" s="3" customFormat="1" ht="52.8" customHeight="1" x14ac:dyDescent="0.25">
      <c r="A40" s="43"/>
      <c r="B40" s="38"/>
      <c r="C40" s="22" t="s">
        <v>61</v>
      </c>
      <c r="D40" s="24" t="s">
        <v>62</v>
      </c>
      <c r="E40" s="58">
        <f>2723064/1000</f>
        <v>2723.0639999999999</v>
      </c>
      <c r="F40" s="58">
        <f>454700/1000</f>
        <v>454.7</v>
      </c>
      <c r="G40" s="58">
        <f t="shared" si="0"/>
        <v>3177.7639999999997</v>
      </c>
      <c r="H40" s="58">
        <f>2625744.34/1000</f>
        <v>2625.7443399999997</v>
      </c>
      <c r="I40" s="58">
        <f>251349.88/1000</f>
        <v>251.34988000000001</v>
      </c>
      <c r="J40" s="58">
        <f t="shared" si="1"/>
        <v>2877.09422</v>
      </c>
    </row>
    <row r="41" spans="1:10" s="3" customFormat="1" ht="36" x14ac:dyDescent="0.25">
      <c r="A41" s="44"/>
      <c r="B41" s="38"/>
      <c r="C41" s="22" t="s">
        <v>63</v>
      </c>
      <c r="D41" s="24" t="s">
        <v>64</v>
      </c>
      <c r="E41" s="58">
        <f>3150147/1000</f>
        <v>3150.1469999999999</v>
      </c>
      <c r="F41" s="58">
        <f>10000/1000</f>
        <v>10</v>
      </c>
      <c r="G41" s="58">
        <f t="shared" si="0"/>
        <v>3160.1469999999999</v>
      </c>
      <c r="H41" s="58">
        <f>3149557.51/1000</f>
        <v>3149.5575099999996</v>
      </c>
      <c r="I41" s="58">
        <f>10000/1000</f>
        <v>10</v>
      </c>
      <c r="J41" s="58">
        <f t="shared" si="1"/>
        <v>3159.5575099999996</v>
      </c>
    </row>
    <row r="42" spans="1:10" s="3" customFormat="1" ht="13.2" x14ac:dyDescent="0.25">
      <c r="A42" s="29" t="s">
        <v>88</v>
      </c>
      <c r="B42" s="37"/>
      <c r="C42" s="31" t="s">
        <v>89</v>
      </c>
      <c r="D42" s="32" t="s">
        <v>45</v>
      </c>
      <c r="E42" s="58">
        <f>1515923/1000</f>
        <v>1515.923</v>
      </c>
      <c r="F42" s="58">
        <f>107593/1000</f>
        <v>107.593</v>
      </c>
      <c r="G42" s="58">
        <f t="shared" si="0"/>
        <v>1623.5160000000001</v>
      </c>
      <c r="H42" s="58">
        <f>1337578.93/1000</f>
        <v>1337.5789299999999</v>
      </c>
      <c r="I42" s="58">
        <f>95561.12/1000</f>
        <v>95.561119999999988</v>
      </c>
      <c r="J42" s="58">
        <f t="shared" si="1"/>
        <v>1433.14005</v>
      </c>
    </row>
    <row r="43" spans="1:10" s="3" customFormat="1" ht="25.8" customHeight="1" x14ac:dyDescent="0.25">
      <c r="A43" s="22" t="s">
        <v>68</v>
      </c>
      <c r="B43" s="36" t="s">
        <v>65</v>
      </c>
      <c r="C43" s="22" t="s">
        <v>66</v>
      </c>
      <c r="D43" s="24" t="s">
        <v>67</v>
      </c>
      <c r="E43" s="58">
        <f>2905350/1000</f>
        <v>2905.35</v>
      </c>
      <c r="F43" s="58"/>
      <c r="G43" s="58">
        <f t="shared" si="0"/>
        <v>2905.35</v>
      </c>
      <c r="H43" s="58">
        <f>2893218.91/1000</f>
        <v>2893.2189100000001</v>
      </c>
      <c r="I43" s="58"/>
      <c r="J43" s="58">
        <f t="shared" si="1"/>
        <v>2893.2189100000001</v>
      </c>
    </row>
    <row r="44" spans="1:10" s="3" customFormat="1" ht="24" x14ac:dyDescent="0.25">
      <c r="A44" s="22" t="s">
        <v>69</v>
      </c>
      <c r="B44" s="38"/>
      <c r="C44" s="22" t="s">
        <v>70</v>
      </c>
      <c r="D44" s="24" t="s">
        <v>71</v>
      </c>
      <c r="E44" s="58">
        <f>6142986/1000</f>
        <v>6142.9859999999999</v>
      </c>
      <c r="F44" s="58"/>
      <c r="G44" s="58">
        <f t="shared" si="0"/>
        <v>6142.9859999999999</v>
      </c>
      <c r="H44" s="58">
        <f>6142986/1000</f>
        <v>6142.9859999999999</v>
      </c>
      <c r="I44" s="58"/>
      <c r="J44" s="58">
        <f t="shared" si="1"/>
        <v>6142.9859999999999</v>
      </c>
    </row>
    <row r="45" spans="1:10" s="3" customFormat="1" ht="13.2" x14ac:dyDescent="0.25">
      <c r="A45" s="22" t="s">
        <v>72</v>
      </c>
      <c r="B45" s="38"/>
      <c r="C45" s="22" t="s">
        <v>73</v>
      </c>
      <c r="D45" s="24" t="s">
        <v>74</v>
      </c>
      <c r="E45" s="58">
        <f>2710500/1000</f>
        <v>2710.5</v>
      </c>
      <c r="F45" s="58">
        <f>1434400/1000</f>
        <v>1434.4</v>
      </c>
      <c r="G45" s="58">
        <f t="shared" si="0"/>
        <v>4144.8999999999996</v>
      </c>
      <c r="H45" s="58">
        <f>2642820/1000</f>
        <v>2642.82</v>
      </c>
      <c r="I45" s="58">
        <f>1259961.09/1000</f>
        <v>1259.96109</v>
      </c>
      <c r="J45" s="58">
        <f t="shared" si="1"/>
        <v>3902.7810900000004</v>
      </c>
    </row>
    <row r="46" spans="1:10" s="3" customFormat="1" ht="13.2" x14ac:dyDescent="0.25">
      <c r="A46" s="22" t="s">
        <v>68</v>
      </c>
      <c r="B46" s="38"/>
      <c r="C46" s="22" t="s">
        <v>75</v>
      </c>
      <c r="D46" s="24" t="s">
        <v>76</v>
      </c>
      <c r="E46" s="58">
        <f>33000/1000</f>
        <v>33</v>
      </c>
      <c r="F46" s="58"/>
      <c r="G46" s="58">
        <f t="shared" si="0"/>
        <v>33</v>
      </c>
      <c r="H46" s="58">
        <f>16080/1000</f>
        <v>16.079999999999998</v>
      </c>
      <c r="I46" s="58"/>
      <c r="J46" s="58">
        <f t="shared" si="1"/>
        <v>16.079999999999998</v>
      </c>
    </row>
    <row r="47" spans="1:10" s="3" customFormat="1" ht="24" x14ac:dyDescent="0.25">
      <c r="A47" s="22" t="s">
        <v>84</v>
      </c>
      <c r="B47" s="37"/>
      <c r="C47" s="22" t="s">
        <v>85</v>
      </c>
      <c r="D47" s="24" t="s">
        <v>86</v>
      </c>
      <c r="E47" s="58"/>
      <c r="F47" s="58">
        <f>46139300/1000</f>
        <v>46139.3</v>
      </c>
      <c r="G47" s="58">
        <f t="shared" si="0"/>
        <v>46139.3</v>
      </c>
      <c r="H47" s="58"/>
      <c r="I47" s="58">
        <f>46135453.81/1000</f>
        <v>46135.453809999999</v>
      </c>
      <c r="J47" s="58">
        <f t="shared" si="1"/>
        <v>46135.453809999999</v>
      </c>
    </row>
    <row r="48" spans="1:10" s="3" customFormat="1" ht="39.6" x14ac:dyDescent="0.25">
      <c r="A48" s="22" t="s">
        <v>80</v>
      </c>
      <c r="B48" s="23" t="s">
        <v>81</v>
      </c>
      <c r="C48" s="22" t="s">
        <v>82</v>
      </c>
      <c r="D48" s="24" t="s">
        <v>83</v>
      </c>
      <c r="E48" s="58">
        <f>82200/1000</f>
        <v>82.2</v>
      </c>
      <c r="F48" s="58">
        <f>32000/1000</f>
        <v>32</v>
      </c>
      <c r="G48" s="58">
        <f t="shared" si="0"/>
        <v>114.2</v>
      </c>
      <c r="H48" s="58">
        <f>76318.46/1000</f>
        <v>76.318460000000002</v>
      </c>
      <c r="I48" s="58">
        <f>32000/1000</f>
        <v>32</v>
      </c>
      <c r="J48" s="58">
        <f t="shared" si="1"/>
        <v>108.31846</v>
      </c>
    </row>
    <row r="49" spans="1:34" s="3" customFormat="1" ht="66" customHeight="1" x14ac:dyDescent="0.25">
      <c r="A49" s="22" t="s">
        <v>93</v>
      </c>
      <c r="B49" s="36" t="s">
        <v>94</v>
      </c>
      <c r="C49" s="22" t="s">
        <v>95</v>
      </c>
      <c r="D49" s="24" t="s">
        <v>96</v>
      </c>
      <c r="E49" s="58">
        <f>195692/1000</f>
        <v>195.69200000000001</v>
      </c>
      <c r="F49" s="58"/>
      <c r="G49" s="58">
        <f t="shared" si="0"/>
        <v>195.69200000000001</v>
      </c>
      <c r="H49" s="58">
        <f>192663.3/1000</f>
        <v>192.66329999999999</v>
      </c>
      <c r="I49" s="58"/>
      <c r="J49" s="58">
        <f t="shared" si="1"/>
        <v>192.66329999999999</v>
      </c>
    </row>
    <row r="50" spans="1:34" s="3" customFormat="1" ht="13.2" x14ac:dyDescent="0.25">
      <c r="A50" s="22" t="s">
        <v>88</v>
      </c>
      <c r="B50" s="37"/>
      <c r="C50" s="31" t="s">
        <v>89</v>
      </c>
      <c r="D50" s="32" t="s">
        <v>45</v>
      </c>
      <c r="E50" s="58">
        <f>50000/1000</f>
        <v>50</v>
      </c>
      <c r="F50" s="58"/>
      <c r="G50" s="58">
        <f t="shared" si="0"/>
        <v>50</v>
      </c>
      <c r="H50" s="58">
        <f>49831.54/1000</f>
        <v>49.831540000000004</v>
      </c>
      <c r="I50" s="58"/>
      <c r="J50" s="58">
        <f t="shared" si="1"/>
        <v>49.831540000000004</v>
      </c>
    </row>
    <row r="51" spans="1:34" s="3" customFormat="1" ht="118.8" x14ac:dyDescent="0.25">
      <c r="A51" s="22" t="s">
        <v>98</v>
      </c>
      <c r="B51" s="23" t="s">
        <v>97</v>
      </c>
      <c r="C51" s="22" t="s">
        <v>99</v>
      </c>
      <c r="D51" s="24" t="s">
        <v>100</v>
      </c>
      <c r="E51" s="58">
        <f>164672/1000</f>
        <v>164.672</v>
      </c>
      <c r="F51" s="58">
        <f>1083127/1000</f>
        <v>1083.127</v>
      </c>
      <c r="G51" s="58">
        <f t="shared" si="0"/>
        <v>1247.799</v>
      </c>
      <c r="H51" s="58">
        <f>164581.85/1000</f>
        <v>164.58185</v>
      </c>
      <c r="I51" s="58">
        <f>1077727/1000</f>
        <v>1077.7270000000001</v>
      </c>
      <c r="J51" s="58">
        <f t="shared" si="1"/>
        <v>1242.3088500000001</v>
      </c>
    </row>
    <row r="52" spans="1:34" s="3" customFormat="1" ht="42.6" customHeight="1" x14ac:dyDescent="0.25">
      <c r="A52" s="22" t="s">
        <v>98</v>
      </c>
      <c r="B52" s="35" t="s">
        <v>101</v>
      </c>
      <c r="C52" s="22" t="s">
        <v>99</v>
      </c>
      <c r="D52" s="24" t="s">
        <v>100</v>
      </c>
      <c r="E52" s="58">
        <f>120000/1000</f>
        <v>120</v>
      </c>
      <c r="F52" s="58">
        <f>3020000/1000</f>
        <v>3020</v>
      </c>
      <c r="G52" s="58">
        <f t="shared" si="0"/>
        <v>3140</v>
      </c>
      <c r="H52" s="58">
        <f>119980.39/1000</f>
        <v>119.98039</v>
      </c>
      <c r="I52" s="58">
        <f>3020000/1000</f>
        <v>3020</v>
      </c>
      <c r="J52" s="58">
        <f t="shared" si="1"/>
        <v>3139.9803900000002</v>
      </c>
    </row>
    <row r="53" spans="1:34" s="3" customFormat="1" ht="43.8" customHeight="1" x14ac:dyDescent="0.25">
      <c r="A53" s="22" t="s">
        <v>98</v>
      </c>
      <c r="B53" s="36" t="s">
        <v>102</v>
      </c>
      <c r="C53" s="22" t="s">
        <v>99</v>
      </c>
      <c r="D53" s="24" t="s">
        <v>100</v>
      </c>
      <c r="E53" s="58">
        <f>1037942/1000</f>
        <v>1037.942</v>
      </c>
      <c r="F53" s="58">
        <f>436070/1000</f>
        <v>436.07</v>
      </c>
      <c r="G53" s="58">
        <f t="shared" si="0"/>
        <v>1474.0119999999999</v>
      </c>
      <c r="H53" s="58">
        <f>1037942/1000</f>
        <v>1037.942</v>
      </c>
      <c r="I53" s="58">
        <f>436069.85/1000</f>
        <v>436.06984999999997</v>
      </c>
      <c r="J53" s="58">
        <f t="shared" si="1"/>
        <v>1474.0118499999999</v>
      </c>
    </row>
    <row r="54" spans="1:34" s="3" customFormat="1" ht="13.2" x14ac:dyDescent="0.25">
      <c r="A54" s="22" t="s">
        <v>88</v>
      </c>
      <c r="B54" s="37"/>
      <c r="C54" s="22" t="s">
        <v>89</v>
      </c>
      <c r="D54" s="24" t="s">
        <v>45</v>
      </c>
      <c r="E54" s="58">
        <f>769310/1000</f>
        <v>769.31</v>
      </c>
      <c r="F54" s="58"/>
      <c r="G54" s="58">
        <f t="shared" si="0"/>
        <v>769.31</v>
      </c>
      <c r="H54" s="58">
        <f>711122.12/1000</f>
        <v>711.12212</v>
      </c>
      <c r="I54" s="58"/>
      <c r="J54" s="58">
        <f t="shared" si="1"/>
        <v>711.12212</v>
      </c>
    </row>
    <row r="55" spans="1:34" s="3" customFormat="1" ht="16.2" customHeight="1" x14ac:dyDescent="0.25">
      <c r="A55" s="22" t="s">
        <v>88</v>
      </c>
      <c r="B55" s="36" t="s">
        <v>101</v>
      </c>
      <c r="C55" s="22" t="s">
        <v>89</v>
      </c>
      <c r="D55" s="24" t="s">
        <v>45</v>
      </c>
      <c r="E55" s="58">
        <f>160580/1000</f>
        <v>160.58000000000001</v>
      </c>
      <c r="F55" s="58"/>
      <c r="G55" s="58">
        <f t="shared" si="0"/>
        <v>160.58000000000001</v>
      </c>
      <c r="H55" s="58">
        <f>160580/1000</f>
        <v>160.58000000000001</v>
      </c>
      <c r="I55" s="58"/>
      <c r="J55" s="58">
        <f t="shared" si="1"/>
        <v>160.58000000000001</v>
      </c>
    </row>
    <row r="56" spans="1:34" s="3" customFormat="1" ht="16.8" customHeight="1" x14ac:dyDescent="0.25">
      <c r="A56" s="22" t="s">
        <v>98</v>
      </c>
      <c r="B56" s="37"/>
      <c r="C56" s="31" t="s">
        <v>106</v>
      </c>
      <c r="D56" s="32" t="s">
        <v>107</v>
      </c>
      <c r="E56" s="58">
        <f>368271/1000</f>
        <v>368.27100000000002</v>
      </c>
      <c r="F56" s="58">
        <f>379200/1000</f>
        <v>379.2</v>
      </c>
      <c r="G56" s="58">
        <f t="shared" si="0"/>
        <v>747.471</v>
      </c>
      <c r="H56" s="58">
        <f>345471/1000</f>
        <v>345.471</v>
      </c>
      <c r="I56" s="58">
        <f>325000/1000</f>
        <v>325</v>
      </c>
      <c r="J56" s="58">
        <f t="shared" si="1"/>
        <v>670.471</v>
      </c>
    </row>
    <row r="57" spans="1:34" s="3" customFormat="1" ht="39.6" x14ac:dyDescent="0.25">
      <c r="A57" s="22" t="s">
        <v>88</v>
      </c>
      <c r="B57" s="23" t="s">
        <v>104</v>
      </c>
      <c r="C57" s="31" t="s">
        <v>89</v>
      </c>
      <c r="D57" s="32" t="s">
        <v>45</v>
      </c>
      <c r="E57" s="58">
        <f>111400/1000</f>
        <v>111.4</v>
      </c>
      <c r="F57" s="58"/>
      <c r="G57" s="58">
        <f t="shared" si="0"/>
        <v>111.4</v>
      </c>
      <c r="H57" s="58">
        <f>110594/1000</f>
        <v>110.59399999999999</v>
      </c>
      <c r="I57" s="58"/>
      <c r="J57" s="58">
        <f t="shared" si="1"/>
        <v>110.59399999999999</v>
      </c>
    </row>
    <row r="58" spans="1:34" s="3" customFormat="1" ht="66" x14ac:dyDescent="0.25">
      <c r="A58" s="22" t="s">
        <v>88</v>
      </c>
      <c r="B58" s="23" t="s">
        <v>105</v>
      </c>
      <c r="C58" s="31" t="s">
        <v>89</v>
      </c>
      <c r="D58" s="32" t="s">
        <v>45</v>
      </c>
      <c r="E58" s="58">
        <f>100000/1000</f>
        <v>100</v>
      </c>
      <c r="F58" s="58"/>
      <c r="G58" s="58">
        <f t="shared" si="0"/>
        <v>100</v>
      </c>
      <c r="H58" s="58">
        <f>99985.91/1000</f>
        <v>99.985910000000004</v>
      </c>
      <c r="I58" s="58"/>
      <c r="J58" s="58">
        <f t="shared" si="1"/>
        <v>99.985910000000004</v>
      </c>
    </row>
    <row r="59" spans="1:34" s="3" customFormat="1" ht="42" customHeight="1" x14ac:dyDescent="0.25">
      <c r="A59" s="22" t="s">
        <v>108</v>
      </c>
      <c r="B59" s="23" t="s">
        <v>109</v>
      </c>
      <c r="C59" s="22" t="s">
        <v>110</v>
      </c>
      <c r="D59" s="24" t="s">
        <v>111</v>
      </c>
      <c r="E59" s="58"/>
      <c r="F59" s="58">
        <f>58563/1000</f>
        <v>58.563000000000002</v>
      </c>
      <c r="G59" s="58">
        <f t="shared" si="0"/>
        <v>58.563000000000002</v>
      </c>
      <c r="H59" s="58"/>
      <c r="I59" s="58">
        <f>58323.98/1000</f>
        <v>58.323980000000006</v>
      </c>
      <c r="J59" s="58">
        <f t="shared" si="1"/>
        <v>58.323980000000006</v>
      </c>
    </row>
    <row r="60" spans="1:34" s="1" customFormat="1" ht="13.8" x14ac:dyDescent="0.25"/>
    <row r="61" spans="1:34" s="1" customFormat="1" ht="13.8" x14ac:dyDescent="0.25"/>
    <row r="62" spans="1:34" s="1" customFormat="1" ht="13.8" x14ac:dyDescent="0.25"/>
    <row r="63" spans="1:34" s="1" customFormat="1" ht="26.4" customHeight="1" x14ac:dyDescent="0.25">
      <c r="A63" s="54" t="s">
        <v>17</v>
      </c>
      <c r="B63" s="54"/>
      <c r="C63" s="54"/>
      <c r="D63" s="17"/>
      <c r="E63" s="18"/>
      <c r="F63" s="19"/>
      <c r="G63" s="52" t="s">
        <v>18</v>
      </c>
      <c r="H63" s="52"/>
      <c r="I63" s="19"/>
      <c r="J63" s="19"/>
      <c r="K63" s="19"/>
      <c r="L63" s="19"/>
      <c r="M63" s="19"/>
      <c r="N63" s="19"/>
      <c r="O63" s="19"/>
      <c r="P63" s="12"/>
      <c r="Q63" s="52" t="s">
        <v>18</v>
      </c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17"/>
      <c r="AD63" s="17"/>
      <c r="AE63" s="17"/>
      <c r="AF63" s="12"/>
      <c r="AG63" s="12"/>
      <c r="AH63" s="12"/>
    </row>
    <row r="64" spans="1:34" s="1" customFormat="1" ht="14.4" customHeight="1" x14ac:dyDescent="0.25">
      <c r="A64" s="13"/>
      <c r="B64" s="14"/>
      <c r="C64" s="14"/>
      <c r="D64" s="14"/>
      <c r="E64" s="25" t="s">
        <v>19</v>
      </c>
      <c r="F64" s="20"/>
      <c r="G64" s="51" t="s">
        <v>20</v>
      </c>
      <c r="H64" s="51"/>
      <c r="I64" s="20"/>
      <c r="J64" s="20"/>
      <c r="K64" s="20"/>
      <c r="L64" s="15"/>
      <c r="M64" s="16"/>
      <c r="N64" s="16"/>
      <c r="O64" s="16"/>
      <c r="P64" s="14"/>
      <c r="Q64" s="53" t="s">
        <v>20</v>
      </c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14"/>
      <c r="AD64" s="14"/>
      <c r="AE64" s="14"/>
      <c r="AF64" s="14"/>
      <c r="AG64" s="14"/>
      <c r="AH64" s="14"/>
    </row>
    <row r="65" spans="5:10" s="1" customFormat="1" ht="13.8" x14ac:dyDescent="0.25"/>
    <row r="66" spans="5:10" s="1" customFormat="1" ht="13.8" x14ac:dyDescent="0.25"/>
    <row r="67" spans="5:10" s="34" customFormat="1" ht="10.199999999999999" x14ac:dyDescent="0.2">
      <c r="E67" s="33">
        <f>SUM(E17:E59)</f>
        <v>52058.385000000002</v>
      </c>
      <c r="F67" s="33">
        <f t="shared" ref="F67:J67" si="2">SUM(F17:F59)</f>
        <v>59293.553</v>
      </c>
      <c r="G67" s="33">
        <f t="shared" si="2"/>
        <v>111351.93799999998</v>
      </c>
      <c r="H67" s="33">
        <f>SUM(H17:H59)</f>
        <v>48684.591190000006</v>
      </c>
      <c r="I67" s="33">
        <f t="shared" si="2"/>
        <v>56534.775759999997</v>
      </c>
      <c r="J67" s="33">
        <f t="shared" si="2"/>
        <v>105219.36695000001</v>
      </c>
    </row>
    <row r="68" spans="5:10" s="1" customFormat="1" ht="13.8" x14ac:dyDescent="0.25"/>
    <row r="69" spans="5:10" s="1" customFormat="1" ht="13.8" x14ac:dyDescent="0.25"/>
    <row r="70" spans="5:10" s="1" customFormat="1" ht="13.8" x14ac:dyDescent="0.25"/>
    <row r="71" spans="5:10" s="1" customFormat="1" ht="13.8" x14ac:dyDescent="0.25"/>
    <row r="72" spans="5:10" s="1" customFormat="1" ht="13.8" x14ac:dyDescent="0.25"/>
    <row r="73" spans="5:10" s="1" customFormat="1" ht="13.8" x14ac:dyDescent="0.25"/>
    <row r="74" spans="5:10" s="1" customFormat="1" ht="13.8" x14ac:dyDescent="0.25"/>
    <row r="75" spans="5:10" s="1" customFormat="1" ht="13.8" x14ac:dyDescent="0.25"/>
    <row r="76" spans="5:10" s="1" customFormat="1" ht="13.8" x14ac:dyDescent="0.25"/>
    <row r="77" spans="5:10" s="1" customFormat="1" ht="13.8" x14ac:dyDescent="0.25"/>
    <row r="78" spans="5:10" s="1" customFormat="1" ht="13.8" x14ac:dyDescent="0.25"/>
    <row r="79" spans="5:10" s="1" customFormat="1" ht="13.8" x14ac:dyDescent="0.25"/>
    <row r="80" spans="5:10" s="1" customFormat="1" ht="13.8" x14ac:dyDescent="0.25"/>
  </sheetData>
  <mergeCells count="29">
    <mergeCell ref="B53:B54"/>
    <mergeCell ref="B55:B56"/>
    <mergeCell ref="A63:C63"/>
    <mergeCell ref="G63:H63"/>
    <mergeCell ref="Q63:AB63"/>
    <mergeCell ref="G64:H64"/>
    <mergeCell ref="Q64:AB64"/>
    <mergeCell ref="A32:A33"/>
    <mergeCell ref="B32:B33"/>
    <mergeCell ref="A36:A41"/>
    <mergeCell ref="B36:B42"/>
    <mergeCell ref="B43:B47"/>
    <mergeCell ref="B49:B50"/>
    <mergeCell ref="B17:B22"/>
    <mergeCell ref="B23:B24"/>
    <mergeCell ref="A26:A27"/>
    <mergeCell ref="B26:B27"/>
    <mergeCell ref="B28:B31"/>
    <mergeCell ref="A29:A30"/>
    <mergeCell ref="A6:J6"/>
    <mergeCell ref="A8:J8"/>
    <mergeCell ref="A9:J9"/>
    <mergeCell ref="A11:J11"/>
    <mergeCell ref="A14:A15"/>
    <mergeCell ref="B14:B15"/>
    <mergeCell ref="C14:C15"/>
    <mergeCell ref="D14:D15"/>
    <mergeCell ref="E14:G14"/>
    <mergeCell ref="H14:J14"/>
  </mergeCells>
  <pageMargins left="0.70866141732283472" right="0.70866141732283472" top="0.35433070866141736" bottom="0.35433070866141736" header="0.31496062992125984" footer="0.31496062992125984"/>
  <pageSetup paperSize="9" scale="77" fitToHeight="2" orientation="landscape" verticalDpi="0" r:id="rId1"/>
  <rowBreaks count="1" manualBreakCount="1">
    <brk id="3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0"/>
  <sheetViews>
    <sheetView view="pageBreakPreview" topLeftCell="A55" zoomScale="115" zoomScaleNormal="100" zoomScaleSheetLayoutView="115" workbookViewId="0">
      <selection activeCell="A52" sqref="A52:D52"/>
    </sheetView>
  </sheetViews>
  <sheetFormatPr defaultRowHeight="14.4" x14ac:dyDescent="0.3"/>
  <cols>
    <col min="1" max="1" width="10.21875" customWidth="1"/>
    <col min="2" max="2" width="31.21875" customWidth="1"/>
    <col min="3" max="3" width="11.6640625" customWidth="1"/>
    <col min="4" max="4" width="35" customWidth="1"/>
    <col min="5" max="5" width="12.21875" customWidth="1"/>
    <col min="6" max="6" width="11.21875" customWidth="1"/>
    <col min="7" max="7" width="9.88671875" customWidth="1"/>
    <col min="8" max="8" width="11.5546875" customWidth="1"/>
    <col min="9" max="9" width="10.21875" customWidth="1"/>
    <col min="10" max="10" width="10.5546875" customWidth="1"/>
  </cols>
  <sheetData>
    <row r="1" spans="1:15" s="3" customFormat="1" ht="13.2" x14ac:dyDescent="0.25">
      <c r="I1" s="2" t="s">
        <v>0</v>
      </c>
      <c r="M1" s="2"/>
      <c r="O1" s="2" t="s">
        <v>0</v>
      </c>
    </row>
    <row r="2" spans="1:15" s="3" customFormat="1" ht="13.2" x14ac:dyDescent="0.25">
      <c r="I2" s="2" t="s">
        <v>2</v>
      </c>
      <c r="M2" s="2"/>
      <c r="O2" s="2" t="s">
        <v>2</v>
      </c>
    </row>
    <row r="3" spans="1:15" s="3" customFormat="1" ht="13.2" x14ac:dyDescent="0.25">
      <c r="I3" s="2" t="s">
        <v>1</v>
      </c>
      <c r="M3" s="2"/>
      <c r="O3" s="2" t="s">
        <v>1</v>
      </c>
    </row>
    <row r="4" spans="1:15" s="3" customFormat="1" ht="13.2" x14ac:dyDescent="0.25">
      <c r="I4" s="2" t="s">
        <v>3</v>
      </c>
      <c r="M4" s="2"/>
      <c r="O4" s="2" t="s">
        <v>3</v>
      </c>
    </row>
    <row r="5" spans="1:15" s="1" customFormat="1" ht="13.8" x14ac:dyDescent="0.25"/>
    <row r="6" spans="1:15" s="4" customFormat="1" ht="13.8" x14ac:dyDescent="0.25">
      <c r="A6" s="45" t="s">
        <v>4</v>
      </c>
      <c r="B6" s="45"/>
      <c r="C6" s="45"/>
      <c r="D6" s="45"/>
      <c r="E6" s="45"/>
      <c r="F6" s="45"/>
      <c r="G6" s="45"/>
      <c r="H6" s="45"/>
      <c r="I6" s="45"/>
      <c r="J6" s="45"/>
    </row>
    <row r="7" spans="1:15" s="1" customFormat="1" ht="13.8" x14ac:dyDescent="0.25"/>
    <row r="8" spans="1:15" s="1" customFormat="1" ht="13.8" x14ac:dyDescent="0.25">
      <c r="A8" s="46" t="s">
        <v>5</v>
      </c>
      <c r="B8" s="46"/>
      <c r="C8" s="46"/>
      <c r="D8" s="46"/>
      <c r="E8" s="46"/>
      <c r="F8" s="46"/>
      <c r="G8" s="46"/>
      <c r="H8" s="46"/>
      <c r="I8" s="46"/>
      <c r="J8" s="46"/>
    </row>
    <row r="9" spans="1:15" s="1" customFormat="1" ht="12" customHeight="1" x14ac:dyDescent="0.25">
      <c r="A9" s="47" t="s">
        <v>6</v>
      </c>
      <c r="B9" s="47"/>
      <c r="C9" s="47"/>
      <c r="D9" s="47"/>
      <c r="E9" s="47"/>
      <c r="F9" s="47"/>
      <c r="G9" s="47"/>
      <c r="H9" s="47"/>
      <c r="I9" s="47"/>
      <c r="J9" s="47"/>
    </row>
    <row r="10" spans="1:15" s="1" customFormat="1" ht="9" customHeight="1" x14ac:dyDescent="0.25"/>
    <row r="11" spans="1:15" s="1" customFormat="1" ht="12.6" customHeight="1" x14ac:dyDescent="0.25">
      <c r="A11" s="48" t="s">
        <v>21</v>
      </c>
      <c r="B11" s="48"/>
      <c r="C11" s="48"/>
      <c r="D11" s="48"/>
      <c r="E11" s="48"/>
      <c r="F11" s="48"/>
      <c r="G11" s="48"/>
      <c r="H11" s="48"/>
      <c r="I11" s="48"/>
      <c r="J11" s="48"/>
    </row>
    <row r="12" spans="1:15" s="1" customFormat="1" ht="6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5" s="1" customFormat="1" ht="15" x14ac:dyDescent="0.25">
      <c r="A13" s="5"/>
      <c r="J13" s="9" t="s">
        <v>16</v>
      </c>
    </row>
    <row r="14" spans="1:15" s="6" customFormat="1" ht="31.8" customHeight="1" x14ac:dyDescent="0.3">
      <c r="A14" s="49" t="s">
        <v>8</v>
      </c>
      <c r="B14" s="49" t="s">
        <v>7</v>
      </c>
      <c r="C14" s="49" t="s">
        <v>9</v>
      </c>
      <c r="D14" s="49" t="s">
        <v>10</v>
      </c>
      <c r="E14" s="55" t="s">
        <v>11</v>
      </c>
      <c r="F14" s="56"/>
      <c r="G14" s="57"/>
      <c r="H14" s="55" t="s">
        <v>12</v>
      </c>
      <c r="I14" s="56"/>
      <c r="J14" s="57"/>
    </row>
    <row r="15" spans="1:15" s="1" customFormat="1" ht="39" customHeight="1" x14ac:dyDescent="0.25">
      <c r="A15" s="50"/>
      <c r="B15" s="50"/>
      <c r="C15" s="50"/>
      <c r="D15" s="50"/>
      <c r="E15" s="7" t="s">
        <v>13</v>
      </c>
      <c r="F15" s="7" t="s">
        <v>14</v>
      </c>
      <c r="G15" s="8" t="s">
        <v>15</v>
      </c>
      <c r="H15" s="7" t="s">
        <v>13</v>
      </c>
      <c r="I15" s="7" t="s">
        <v>14</v>
      </c>
      <c r="J15" s="8" t="s">
        <v>15</v>
      </c>
    </row>
    <row r="16" spans="1:15" s="11" customFormat="1" ht="10.199999999999999" x14ac:dyDescent="0.2">
      <c r="A16" s="10">
        <v>1</v>
      </c>
      <c r="B16" s="10">
        <v>2</v>
      </c>
      <c r="C16" s="10">
        <v>3</v>
      </c>
      <c r="D16" s="10">
        <v>4</v>
      </c>
      <c r="E16" s="10">
        <v>5</v>
      </c>
      <c r="F16" s="10">
        <v>6</v>
      </c>
      <c r="G16" s="10">
        <v>7</v>
      </c>
      <c r="H16" s="10">
        <v>8</v>
      </c>
      <c r="I16" s="10">
        <v>9</v>
      </c>
      <c r="J16" s="10">
        <v>10</v>
      </c>
    </row>
    <row r="17" spans="1:10" s="3" customFormat="1" ht="23.4" customHeight="1" x14ac:dyDescent="0.25">
      <c r="A17" s="22" t="s">
        <v>22</v>
      </c>
      <c r="B17" s="39" t="s">
        <v>25</v>
      </c>
      <c r="C17" s="22" t="s">
        <v>24</v>
      </c>
      <c r="D17" s="24" t="s">
        <v>23</v>
      </c>
      <c r="E17" s="27">
        <v>885600</v>
      </c>
      <c r="F17" s="27"/>
      <c r="G17" s="27">
        <f t="shared" ref="G17:G22" si="0">E17+F17</f>
        <v>885600</v>
      </c>
      <c r="H17" s="27">
        <v>884239.49</v>
      </c>
      <c r="I17" s="27"/>
      <c r="J17" s="27">
        <f t="shared" ref="J17:J22" si="1">H17+I17</f>
        <v>884239.49</v>
      </c>
    </row>
    <row r="18" spans="1:10" s="3" customFormat="1" ht="16.2" customHeight="1" x14ac:dyDescent="0.25">
      <c r="A18" s="22" t="s">
        <v>49</v>
      </c>
      <c r="B18" s="40"/>
      <c r="C18" s="22" t="s">
        <v>47</v>
      </c>
      <c r="D18" s="24" t="s">
        <v>48</v>
      </c>
      <c r="E18" s="27">
        <v>353416</v>
      </c>
      <c r="F18" s="27"/>
      <c r="G18" s="27">
        <f t="shared" si="0"/>
        <v>353416</v>
      </c>
      <c r="H18" s="27">
        <v>352842.22</v>
      </c>
      <c r="I18" s="27"/>
      <c r="J18" s="27">
        <f t="shared" si="1"/>
        <v>352842.22</v>
      </c>
    </row>
    <row r="19" spans="1:10" s="3" customFormat="1" ht="16.2" customHeight="1" x14ac:dyDescent="0.25">
      <c r="A19" s="22" t="s">
        <v>77</v>
      </c>
      <c r="B19" s="40"/>
      <c r="C19" s="22" t="s">
        <v>78</v>
      </c>
      <c r="D19" s="24" t="s">
        <v>79</v>
      </c>
      <c r="E19" s="27">
        <v>326084</v>
      </c>
      <c r="F19" s="27"/>
      <c r="G19" s="27">
        <f t="shared" si="0"/>
        <v>326084</v>
      </c>
      <c r="H19" s="27">
        <v>258976.6</v>
      </c>
      <c r="I19" s="27"/>
      <c r="J19" s="27">
        <f t="shared" si="1"/>
        <v>258976.6</v>
      </c>
    </row>
    <row r="20" spans="1:10" s="3" customFormat="1" ht="15" customHeight="1" x14ac:dyDescent="0.25">
      <c r="A20" s="22" t="s">
        <v>80</v>
      </c>
      <c r="B20" s="40"/>
      <c r="C20" s="22" t="s">
        <v>87</v>
      </c>
      <c r="D20" s="24" t="s">
        <v>90</v>
      </c>
      <c r="E20" s="27">
        <v>294800</v>
      </c>
      <c r="F20" s="27"/>
      <c r="G20" s="27">
        <f t="shared" si="0"/>
        <v>294800</v>
      </c>
      <c r="H20" s="27">
        <v>207005.5</v>
      </c>
      <c r="I20" s="27"/>
      <c r="J20" s="27">
        <f t="shared" si="1"/>
        <v>207005.5</v>
      </c>
    </row>
    <row r="21" spans="1:10" s="3" customFormat="1" ht="16.2" customHeight="1" x14ac:dyDescent="0.25">
      <c r="A21" s="22" t="s">
        <v>88</v>
      </c>
      <c r="B21" s="40"/>
      <c r="C21" s="22" t="s">
        <v>89</v>
      </c>
      <c r="D21" s="24" t="s">
        <v>45</v>
      </c>
      <c r="E21" s="27">
        <v>1157350</v>
      </c>
      <c r="F21" s="27">
        <v>26000</v>
      </c>
      <c r="G21" s="27">
        <f t="shared" si="0"/>
        <v>1183350</v>
      </c>
      <c r="H21" s="27">
        <v>947722.98</v>
      </c>
      <c r="I21" s="27">
        <v>26000</v>
      </c>
      <c r="J21" s="27">
        <f t="shared" si="1"/>
        <v>973722.98</v>
      </c>
    </row>
    <row r="22" spans="1:10" s="3" customFormat="1" ht="52.2" customHeight="1" x14ac:dyDescent="0.25">
      <c r="A22" s="22" t="s">
        <v>88</v>
      </c>
      <c r="B22" s="41"/>
      <c r="C22" s="22" t="s">
        <v>91</v>
      </c>
      <c r="D22" s="24" t="s">
        <v>92</v>
      </c>
      <c r="E22" s="27"/>
      <c r="F22" s="27">
        <v>9600</v>
      </c>
      <c r="G22" s="27">
        <f t="shared" si="0"/>
        <v>9600</v>
      </c>
      <c r="H22" s="27"/>
      <c r="I22" s="27"/>
      <c r="J22" s="27">
        <f t="shared" si="1"/>
        <v>0</v>
      </c>
    </row>
    <row r="23" spans="1:10" s="3" customFormat="1" ht="28.8" customHeight="1" x14ac:dyDescent="0.25">
      <c r="A23" s="22" t="s">
        <v>22</v>
      </c>
      <c r="B23" s="36" t="s">
        <v>103</v>
      </c>
      <c r="C23" s="22" t="s">
        <v>24</v>
      </c>
      <c r="D23" s="24" t="s">
        <v>23</v>
      </c>
      <c r="E23" s="27">
        <v>2575352</v>
      </c>
      <c r="F23" s="27">
        <v>900000</v>
      </c>
      <c r="G23" s="27">
        <f t="shared" ref="G23:G26" si="2">E23+F23</f>
        <v>3475352</v>
      </c>
      <c r="H23" s="27">
        <v>1361148.58</v>
      </c>
      <c r="I23" s="27">
        <v>899801</v>
      </c>
      <c r="J23" s="27">
        <f t="shared" ref="J23:J26" si="3">H23+I23</f>
        <v>2260949.58</v>
      </c>
    </row>
    <row r="24" spans="1:10" s="3" customFormat="1" ht="24.6" customHeight="1" x14ac:dyDescent="0.25">
      <c r="A24" s="22" t="s">
        <v>84</v>
      </c>
      <c r="B24" s="37"/>
      <c r="C24" s="22" t="s">
        <v>85</v>
      </c>
      <c r="D24" s="24" t="s">
        <v>86</v>
      </c>
      <c r="E24" s="27"/>
      <c r="F24" s="27">
        <v>4625000</v>
      </c>
      <c r="G24" s="27">
        <f>E24+F24</f>
        <v>4625000</v>
      </c>
      <c r="H24" s="27"/>
      <c r="I24" s="27">
        <v>2370172.0699999998</v>
      </c>
      <c r="J24" s="27">
        <f>H24+I24</f>
        <v>2370172.0699999998</v>
      </c>
    </row>
    <row r="25" spans="1:10" s="3" customFormat="1" ht="18" customHeight="1" x14ac:dyDescent="0.25">
      <c r="A25" s="28" t="s">
        <v>88</v>
      </c>
      <c r="B25" s="30"/>
      <c r="C25" s="22" t="s">
        <v>89</v>
      </c>
      <c r="D25" s="24" t="s">
        <v>45</v>
      </c>
      <c r="E25" s="27">
        <v>4314800</v>
      </c>
      <c r="F25" s="27">
        <v>319000</v>
      </c>
      <c r="G25" s="27">
        <f>E25+F25</f>
        <v>4633800</v>
      </c>
      <c r="H25" s="27">
        <v>3278936.28</v>
      </c>
      <c r="I25" s="27">
        <v>304982</v>
      </c>
      <c r="J25" s="27">
        <f>H25+I25</f>
        <v>3583918.28</v>
      </c>
    </row>
    <row r="26" spans="1:10" s="3" customFormat="1" ht="42" customHeight="1" x14ac:dyDescent="0.25">
      <c r="A26" s="42">
        <v>1070</v>
      </c>
      <c r="B26" s="36" t="s">
        <v>28</v>
      </c>
      <c r="C26" s="22" t="s">
        <v>27</v>
      </c>
      <c r="D26" s="24" t="s">
        <v>26</v>
      </c>
      <c r="E26" s="27">
        <v>9867</v>
      </c>
      <c r="F26" s="27"/>
      <c r="G26" s="27">
        <f t="shared" si="2"/>
        <v>9867</v>
      </c>
      <c r="H26" s="27">
        <v>6037.5</v>
      </c>
      <c r="I26" s="27"/>
      <c r="J26" s="27">
        <f t="shared" si="3"/>
        <v>6037.5</v>
      </c>
    </row>
    <row r="27" spans="1:10" s="3" customFormat="1" ht="36" x14ac:dyDescent="0.25">
      <c r="A27" s="44"/>
      <c r="B27" s="37"/>
      <c r="C27" s="22" t="s">
        <v>32</v>
      </c>
      <c r="D27" s="24" t="s">
        <v>30</v>
      </c>
      <c r="E27" s="27">
        <v>26314</v>
      </c>
      <c r="F27" s="27"/>
      <c r="G27" s="27">
        <f t="shared" ref="G27:G56" si="4">E27+F27</f>
        <v>26314</v>
      </c>
      <c r="H27" s="27">
        <v>26314</v>
      </c>
      <c r="I27" s="27"/>
      <c r="J27" s="27">
        <f t="shared" ref="J27:J56" si="5">H27+I27</f>
        <v>26314</v>
      </c>
    </row>
    <row r="28" spans="1:10" s="3" customFormat="1" ht="41.4" customHeight="1" x14ac:dyDescent="0.25">
      <c r="A28" s="22" t="s">
        <v>29</v>
      </c>
      <c r="B28" s="36" t="s">
        <v>31</v>
      </c>
      <c r="C28" s="22" t="s">
        <v>32</v>
      </c>
      <c r="D28" s="24" t="s">
        <v>30</v>
      </c>
      <c r="E28" s="27">
        <v>15000</v>
      </c>
      <c r="F28" s="27"/>
      <c r="G28" s="27">
        <f t="shared" si="4"/>
        <v>15000</v>
      </c>
      <c r="H28" s="27">
        <v>4296.5</v>
      </c>
      <c r="I28" s="27"/>
      <c r="J28" s="27">
        <f t="shared" si="5"/>
        <v>4296.5</v>
      </c>
    </row>
    <row r="29" spans="1:10" s="3" customFormat="1" ht="39" customHeight="1" x14ac:dyDescent="0.25">
      <c r="A29" s="42" t="s">
        <v>33</v>
      </c>
      <c r="B29" s="38"/>
      <c r="C29" s="22" t="s">
        <v>36</v>
      </c>
      <c r="D29" s="24" t="s">
        <v>39</v>
      </c>
      <c r="E29" s="27">
        <v>677325</v>
      </c>
      <c r="F29" s="27"/>
      <c r="G29" s="27">
        <f t="shared" si="4"/>
        <v>677325</v>
      </c>
      <c r="H29" s="27">
        <v>615768.73</v>
      </c>
      <c r="I29" s="27"/>
      <c r="J29" s="27">
        <f t="shared" si="5"/>
        <v>615768.73</v>
      </c>
    </row>
    <row r="30" spans="1:10" s="3" customFormat="1" ht="66.599999999999994" customHeight="1" x14ac:dyDescent="0.25">
      <c r="A30" s="44"/>
      <c r="B30" s="38"/>
      <c r="C30" s="22" t="s">
        <v>37</v>
      </c>
      <c r="D30" s="24" t="s">
        <v>38</v>
      </c>
      <c r="E30" s="27">
        <v>1571400</v>
      </c>
      <c r="F30" s="27"/>
      <c r="G30" s="27">
        <f t="shared" si="4"/>
        <v>1571400</v>
      </c>
      <c r="H30" s="27">
        <v>1568305</v>
      </c>
      <c r="I30" s="27"/>
      <c r="J30" s="27">
        <f t="shared" si="5"/>
        <v>1568305</v>
      </c>
    </row>
    <row r="31" spans="1:10" s="3" customFormat="1" ht="15" customHeight="1" x14ac:dyDescent="0.25">
      <c r="A31" s="22" t="s">
        <v>49</v>
      </c>
      <c r="B31" s="37"/>
      <c r="C31" s="22" t="s">
        <v>47</v>
      </c>
      <c r="D31" s="24" t="s">
        <v>48</v>
      </c>
      <c r="E31" s="27">
        <v>675515</v>
      </c>
      <c r="F31" s="27"/>
      <c r="G31" s="27">
        <f t="shared" si="4"/>
        <v>675515</v>
      </c>
      <c r="H31" s="27">
        <v>675248.28</v>
      </c>
      <c r="I31" s="27"/>
      <c r="J31" s="27">
        <f>H31+I31</f>
        <v>675248.28</v>
      </c>
    </row>
    <row r="32" spans="1:10" s="3" customFormat="1" ht="28.8" customHeight="1" x14ac:dyDescent="0.25">
      <c r="A32" s="42" t="s">
        <v>33</v>
      </c>
      <c r="B32" s="36" t="s">
        <v>46</v>
      </c>
      <c r="C32" s="22" t="s">
        <v>34</v>
      </c>
      <c r="D32" s="24" t="s">
        <v>35</v>
      </c>
      <c r="E32" s="27">
        <v>48000</v>
      </c>
      <c r="F32" s="27"/>
      <c r="G32" s="27">
        <f t="shared" si="4"/>
        <v>48000</v>
      </c>
      <c r="H32" s="27">
        <v>47970</v>
      </c>
      <c r="I32" s="27"/>
      <c r="J32" s="27">
        <f t="shared" si="5"/>
        <v>47970</v>
      </c>
    </row>
    <row r="33" spans="1:10" s="3" customFormat="1" ht="13.2" x14ac:dyDescent="0.25">
      <c r="A33" s="44"/>
      <c r="B33" s="37"/>
      <c r="C33" s="22" t="s">
        <v>44</v>
      </c>
      <c r="D33" s="24" t="s">
        <v>45</v>
      </c>
      <c r="E33" s="27">
        <v>728605</v>
      </c>
      <c r="F33" s="27">
        <v>10000</v>
      </c>
      <c r="G33" s="27">
        <f t="shared" si="4"/>
        <v>738605</v>
      </c>
      <c r="H33" s="27">
        <v>717490.83</v>
      </c>
      <c r="I33" s="27">
        <v>9980</v>
      </c>
      <c r="J33" s="27">
        <f t="shared" si="5"/>
        <v>727470.83</v>
      </c>
    </row>
    <row r="34" spans="1:10" s="3" customFormat="1" ht="39.6" x14ac:dyDescent="0.25">
      <c r="A34" s="22" t="s">
        <v>40</v>
      </c>
      <c r="B34" s="23" t="s">
        <v>41</v>
      </c>
      <c r="C34" s="22" t="s">
        <v>42</v>
      </c>
      <c r="D34" s="24" t="s">
        <v>43</v>
      </c>
      <c r="E34" s="27">
        <v>143854</v>
      </c>
      <c r="F34" s="27"/>
      <c r="G34" s="27">
        <f t="shared" si="4"/>
        <v>143854</v>
      </c>
      <c r="H34" s="27">
        <v>119772.28</v>
      </c>
      <c r="I34" s="27"/>
      <c r="J34" s="27">
        <f t="shared" si="5"/>
        <v>119772.28</v>
      </c>
    </row>
    <row r="35" spans="1:10" s="3" customFormat="1" ht="52.8" x14ac:dyDescent="0.25">
      <c r="A35" s="22" t="s">
        <v>40</v>
      </c>
      <c r="B35" s="23" t="s">
        <v>56</v>
      </c>
      <c r="C35" s="22" t="s">
        <v>42</v>
      </c>
      <c r="D35" s="24" t="s">
        <v>43</v>
      </c>
      <c r="E35" s="27">
        <v>48000</v>
      </c>
      <c r="F35" s="27"/>
      <c r="G35" s="27">
        <f t="shared" si="4"/>
        <v>48000</v>
      </c>
      <c r="H35" s="27">
        <v>16152.49</v>
      </c>
      <c r="I35" s="27"/>
      <c r="J35" s="27">
        <f t="shared" si="5"/>
        <v>16152.49</v>
      </c>
    </row>
    <row r="36" spans="1:10" s="3" customFormat="1" ht="15" customHeight="1" x14ac:dyDescent="0.25">
      <c r="A36" s="42" t="s">
        <v>50</v>
      </c>
      <c r="B36" s="36" t="s">
        <v>51</v>
      </c>
      <c r="C36" s="22" t="s">
        <v>52</v>
      </c>
      <c r="D36" s="24" t="s">
        <v>53</v>
      </c>
      <c r="E36" s="27">
        <v>956600</v>
      </c>
      <c r="F36" s="27"/>
      <c r="G36" s="27">
        <f t="shared" si="4"/>
        <v>956600</v>
      </c>
      <c r="H36" s="27">
        <v>946571.51</v>
      </c>
      <c r="I36" s="27"/>
      <c r="J36" s="27">
        <f t="shared" si="5"/>
        <v>946571.51</v>
      </c>
    </row>
    <row r="37" spans="1:10" s="3" customFormat="1" ht="24" x14ac:dyDescent="0.25">
      <c r="A37" s="43"/>
      <c r="B37" s="38"/>
      <c r="C37" s="22" t="s">
        <v>54</v>
      </c>
      <c r="D37" s="24" t="s">
        <v>55</v>
      </c>
      <c r="E37" s="27">
        <v>1108000</v>
      </c>
      <c r="F37" s="27"/>
      <c r="G37" s="27">
        <f t="shared" si="4"/>
        <v>1108000</v>
      </c>
      <c r="H37" s="27">
        <v>1073474.51</v>
      </c>
      <c r="I37" s="27"/>
      <c r="J37" s="27">
        <f t="shared" si="5"/>
        <v>1073474.51</v>
      </c>
    </row>
    <row r="38" spans="1:10" s="3" customFormat="1" ht="24" x14ac:dyDescent="0.25">
      <c r="A38" s="43"/>
      <c r="B38" s="38"/>
      <c r="C38" s="22" t="s">
        <v>57</v>
      </c>
      <c r="D38" s="24" t="s">
        <v>58</v>
      </c>
      <c r="E38" s="27">
        <v>7603943</v>
      </c>
      <c r="F38" s="27">
        <v>249000</v>
      </c>
      <c r="G38" s="27">
        <f t="shared" si="4"/>
        <v>7852943</v>
      </c>
      <c r="H38" s="27">
        <v>7509620.0599999996</v>
      </c>
      <c r="I38" s="27">
        <v>222393.96</v>
      </c>
      <c r="J38" s="27">
        <f t="shared" si="5"/>
        <v>7732014.0199999996</v>
      </c>
    </row>
    <row r="39" spans="1:10" s="3" customFormat="1" ht="36" x14ac:dyDescent="0.25">
      <c r="A39" s="43"/>
      <c r="B39" s="38"/>
      <c r="C39" s="22" t="s">
        <v>59</v>
      </c>
      <c r="D39" s="24" t="s">
        <v>60</v>
      </c>
      <c r="E39" s="27">
        <v>6197523</v>
      </c>
      <c r="F39" s="27"/>
      <c r="G39" s="27">
        <f t="shared" si="4"/>
        <v>6197523</v>
      </c>
      <c r="H39" s="27">
        <v>6189641.5899999999</v>
      </c>
      <c r="I39" s="27"/>
      <c r="J39" s="27">
        <f t="shared" si="5"/>
        <v>6189641.5899999999</v>
      </c>
    </row>
    <row r="40" spans="1:10" s="3" customFormat="1" ht="52.8" customHeight="1" x14ac:dyDescent="0.25">
      <c r="A40" s="43"/>
      <c r="B40" s="38"/>
      <c r="C40" s="22" t="s">
        <v>61</v>
      </c>
      <c r="D40" s="24" t="s">
        <v>62</v>
      </c>
      <c r="E40" s="27">
        <v>2723064</v>
      </c>
      <c r="F40" s="27">
        <v>454700</v>
      </c>
      <c r="G40" s="27">
        <f t="shared" si="4"/>
        <v>3177764</v>
      </c>
      <c r="H40" s="27">
        <v>2625744.34</v>
      </c>
      <c r="I40" s="27">
        <v>251349.88</v>
      </c>
      <c r="J40" s="27">
        <f t="shared" ref="J40:J52" si="6">H40+I40</f>
        <v>2877094.2199999997</v>
      </c>
    </row>
    <row r="41" spans="1:10" s="3" customFormat="1" ht="36" x14ac:dyDescent="0.25">
      <c r="A41" s="44"/>
      <c r="B41" s="38"/>
      <c r="C41" s="22" t="s">
        <v>63</v>
      </c>
      <c r="D41" s="24" t="s">
        <v>64</v>
      </c>
      <c r="E41" s="27">
        <v>3150147</v>
      </c>
      <c r="F41" s="27">
        <v>10000</v>
      </c>
      <c r="G41" s="27">
        <f t="shared" ref="G41:G52" si="7">E41+F41</f>
        <v>3160147</v>
      </c>
      <c r="H41" s="27">
        <v>3149557.51</v>
      </c>
      <c r="I41" s="27">
        <v>10000</v>
      </c>
      <c r="J41" s="27">
        <f t="shared" si="6"/>
        <v>3159557.51</v>
      </c>
    </row>
    <row r="42" spans="1:10" s="3" customFormat="1" ht="13.2" x14ac:dyDescent="0.25">
      <c r="A42" s="29" t="s">
        <v>88</v>
      </c>
      <c r="B42" s="37"/>
      <c r="C42" s="31" t="s">
        <v>89</v>
      </c>
      <c r="D42" s="32" t="s">
        <v>45</v>
      </c>
      <c r="E42" s="27">
        <v>1515923</v>
      </c>
      <c r="F42" s="27">
        <v>107593</v>
      </c>
      <c r="G42" s="27">
        <f t="shared" si="7"/>
        <v>1623516</v>
      </c>
      <c r="H42" s="27">
        <v>1337578.93</v>
      </c>
      <c r="I42" s="27">
        <v>95561.12</v>
      </c>
      <c r="J42" s="27">
        <f t="shared" si="6"/>
        <v>1433140.0499999998</v>
      </c>
    </row>
    <row r="43" spans="1:10" s="3" customFormat="1" ht="25.8" customHeight="1" x14ac:dyDescent="0.25">
      <c r="A43" s="22" t="s">
        <v>68</v>
      </c>
      <c r="B43" s="36" t="s">
        <v>65</v>
      </c>
      <c r="C43" s="22" t="s">
        <v>66</v>
      </c>
      <c r="D43" s="24" t="s">
        <v>67</v>
      </c>
      <c r="E43" s="27">
        <v>2905350</v>
      </c>
      <c r="F43" s="27"/>
      <c r="G43" s="27">
        <f t="shared" si="7"/>
        <v>2905350</v>
      </c>
      <c r="H43" s="27">
        <v>2893218.91</v>
      </c>
      <c r="I43" s="27"/>
      <c r="J43" s="27">
        <f t="shared" si="6"/>
        <v>2893218.91</v>
      </c>
    </row>
    <row r="44" spans="1:10" s="3" customFormat="1" ht="24" x14ac:dyDescent="0.25">
      <c r="A44" s="22" t="s">
        <v>69</v>
      </c>
      <c r="B44" s="38"/>
      <c r="C44" s="22" t="s">
        <v>70</v>
      </c>
      <c r="D44" s="24" t="s">
        <v>71</v>
      </c>
      <c r="E44" s="27">
        <v>6142986</v>
      </c>
      <c r="F44" s="27"/>
      <c r="G44" s="27">
        <f t="shared" si="7"/>
        <v>6142986</v>
      </c>
      <c r="H44" s="27">
        <v>6142986</v>
      </c>
      <c r="I44" s="27"/>
      <c r="J44" s="27">
        <f t="shared" si="6"/>
        <v>6142986</v>
      </c>
    </row>
    <row r="45" spans="1:10" s="3" customFormat="1" ht="13.2" x14ac:dyDescent="0.25">
      <c r="A45" s="22" t="s">
        <v>72</v>
      </c>
      <c r="B45" s="38"/>
      <c r="C45" s="22" t="s">
        <v>73</v>
      </c>
      <c r="D45" s="24" t="s">
        <v>74</v>
      </c>
      <c r="E45" s="27">
        <v>2710500</v>
      </c>
      <c r="F45" s="27">
        <v>1434400</v>
      </c>
      <c r="G45" s="27">
        <f t="shared" si="7"/>
        <v>4144900</v>
      </c>
      <c r="H45" s="27">
        <v>2642820</v>
      </c>
      <c r="I45" s="27">
        <v>1259961.0900000001</v>
      </c>
      <c r="J45" s="27">
        <f t="shared" si="6"/>
        <v>3902781.09</v>
      </c>
    </row>
    <row r="46" spans="1:10" s="3" customFormat="1" ht="13.2" x14ac:dyDescent="0.25">
      <c r="A46" s="22" t="s">
        <v>68</v>
      </c>
      <c r="B46" s="38"/>
      <c r="C46" s="22" t="s">
        <v>75</v>
      </c>
      <c r="D46" s="24" t="s">
        <v>76</v>
      </c>
      <c r="E46" s="27">
        <v>33000</v>
      </c>
      <c r="F46" s="27"/>
      <c r="G46" s="27">
        <f t="shared" si="7"/>
        <v>33000</v>
      </c>
      <c r="H46" s="27">
        <v>16080</v>
      </c>
      <c r="I46" s="27"/>
      <c r="J46" s="27">
        <f t="shared" si="6"/>
        <v>16080</v>
      </c>
    </row>
    <row r="47" spans="1:10" s="3" customFormat="1" ht="24" x14ac:dyDescent="0.25">
      <c r="A47" s="22" t="s">
        <v>84</v>
      </c>
      <c r="B47" s="37"/>
      <c r="C47" s="22" t="s">
        <v>85</v>
      </c>
      <c r="D47" s="24" t="s">
        <v>86</v>
      </c>
      <c r="E47" s="27"/>
      <c r="F47" s="27">
        <v>46139300</v>
      </c>
      <c r="G47" s="27">
        <f t="shared" si="7"/>
        <v>46139300</v>
      </c>
      <c r="H47" s="27"/>
      <c r="I47" s="27">
        <v>46135453.810000002</v>
      </c>
      <c r="J47" s="27">
        <f t="shared" si="6"/>
        <v>46135453.810000002</v>
      </c>
    </row>
    <row r="48" spans="1:10" s="3" customFormat="1" ht="39.6" x14ac:dyDescent="0.25">
      <c r="A48" s="22" t="s">
        <v>80</v>
      </c>
      <c r="B48" s="23" t="s">
        <v>81</v>
      </c>
      <c r="C48" s="22" t="s">
        <v>82</v>
      </c>
      <c r="D48" s="24" t="s">
        <v>83</v>
      </c>
      <c r="E48" s="27">
        <v>82200</v>
      </c>
      <c r="F48" s="27">
        <v>32000</v>
      </c>
      <c r="G48" s="27">
        <f t="shared" si="7"/>
        <v>114200</v>
      </c>
      <c r="H48" s="27">
        <v>76318.460000000006</v>
      </c>
      <c r="I48" s="27">
        <v>32000</v>
      </c>
      <c r="J48" s="27">
        <f t="shared" si="6"/>
        <v>108318.46</v>
      </c>
    </row>
    <row r="49" spans="1:34" s="3" customFormat="1" ht="66" customHeight="1" x14ac:dyDescent="0.25">
      <c r="A49" s="22" t="s">
        <v>93</v>
      </c>
      <c r="B49" s="36" t="s">
        <v>94</v>
      </c>
      <c r="C49" s="22" t="s">
        <v>95</v>
      </c>
      <c r="D49" s="24" t="s">
        <v>96</v>
      </c>
      <c r="E49" s="27">
        <v>195692</v>
      </c>
      <c r="F49" s="27"/>
      <c r="G49" s="27">
        <f t="shared" ref="G49:G51" si="8">E49+F49</f>
        <v>195692</v>
      </c>
      <c r="H49" s="27">
        <v>192663.3</v>
      </c>
      <c r="I49" s="27"/>
      <c r="J49" s="27">
        <f t="shared" ref="J49:J51" si="9">H49+I49</f>
        <v>192663.3</v>
      </c>
    </row>
    <row r="50" spans="1:34" s="3" customFormat="1" ht="13.2" x14ac:dyDescent="0.25">
      <c r="A50" s="22" t="s">
        <v>88</v>
      </c>
      <c r="B50" s="37"/>
      <c r="C50" s="31" t="s">
        <v>89</v>
      </c>
      <c r="D50" s="32" t="s">
        <v>45</v>
      </c>
      <c r="E50" s="27">
        <v>50000</v>
      </c>
      <c r="F50" s="27"/>
      <c r="G50" s="27">
        <f t="shared" si="8"/>
        <v>50000</v>
      </c>
      <c r="H50" s="27">
        <v>49831.54</v>
      </c>
      <c r="I50" s="27"/>
      <c r="J50" s="27">
        <f t="shared" si="9"/>
        <v>49831.54</v>
      </c>
    </row>
    <row r="51" spans="1:34" s="3" customFormat="1" ht="118.8" x14ac:dyDescent="0.25">
      <c r="A51" s="22" t="s">
        <v>98</v>
      </c>
      <c r="B51" s="23" t="s">
        <v>97</v>
      </c>
      <c r="C51" s="22" t="s">
        <v>99</v>
      </c>
      <c r="D51" s="24" t="s">
        <v>100</v>
      </c>
      <c r="E51" s="27">
        <v>164672</v>
      </c>
      <c r="F51" s="27">
        <v>1083127</v>
      </c>
      <c r="G51" s="27">
        <f t="shared" si="8"/>
        <v>1247799</v>
      </c>
      <c r="H51" s="27">
        <v>164581.85</v>
      </c>
      <c r="I51" s="27">
        <v>1077727</v>
      </c>
      <c r="J51" s="27">
        <f t="shared" si="9"/>
        <v>1242308.8500000001</v>
      </c>
    </row>
    <row r="52" spans="1:34" s="3" customFormat="1" ht="42.6" customHeight="1" x14ac:dyDescent="0.25">
      <c r="A52" s="22" t="s">
        <v>98</v>
      </c>
      <c r="B52" s="35" t="s">
        <v>101</v>
      </c>
      <c r="C52" s="22" t="s">
        <v>99</v>
      </c>
      <c r="D52" s="24" t="s">
        <v>100</v>
      </c>
      <c r="E52" s="27">
        <v>120000</v>
      </c>
      <c r="F52" s="27">
        <v>3020000</v>
      </c>
      <c r="G52" s="27">
        <f t="shared" si="7"/>
        <v>3140000</v>
      </c>
      <c r="H52" s="27">
        <v>119980.39</v>
      </c>
      <c r="I52" s="27">
        <v>3020000</v>
      </c>
      <c r="J52" s="27">
        <f t="shared" si="6"/>
        <v>3139980.39</v>
      </c>
    </row>
    <row r="53" spans="1:34" s="3" customFormat="1" ht="43.8" customHeight="1" x14ac:dyDescent="0.25">
      <c r="A53" s="22" t="s">
        <v>98</v>
      </c>
      <c r="B53" s="36" t="s">
        <v>102</v>
      </c>
      <c r="C53" s="22" t="s">
        <v>99</v>
      </c>
      <c r="D53" s="24" t="s">
        <v>100</v>
      </c>
      <c r="E53" s="27">
        <v>1037942</v>
      </c>
      <c r="F53" s="27">
        <v>436070</v>
      </c>
      <c r="G53" s="27">
        <f t="shared" si="4"/>
        <v>1474012</v>
      </c>
      <c r="H53" s="27">
        <v>1037942</v>
      </c>
      <c r="I53" s="27">
        <v>436069.85</v>
      </c>
      <c r="J53" s="27">
        <f t="shared" si="5"/>
        <v>1474011.85</v>
      </c>
    </row>
    <row r="54" spans="1:34" s="3" customFormat="1" ht="13.2" x14ac:dyDescent="0.25">
      <c r="A54" s="22" t="s">
        <v>88</v>
      </c>
      <c r="B54" s="37"/>
      <c r="C54" s="22" t="s">
        <v>89</v>
      </c>
      <c r="D54" s="24" t="s">
        <v>45</v>
      </c>
      <c r="E54" s="27">
        <v>769310</v>
      </c>
      <c r="F54" s="27"/>
      <c r="G54" s="27">
        <f t="shared" si="4"/>
        <v>769310</v>
      </c>
      <c r="H54" s="27">
        <v>711122.12</v>
      </c>
      <c r="I54" s="27"/>
      <c r="J54" s="27">
        <f t="shared" si="5"/>
        <v>711122.12</v>
      </c>
    </row>
    <row r="55" spans="1:34" s="3" customFormat="1" ht="16.2" customHeight="1" x14ac:dyDescent="0.25">
      <c r="A55" s="22" t="s">
        <v>88</v>
      </c>
      <c r="B55" s="36" t="s">
        <v>101</v>
      </c>
      <c r="C55" s="22" t="s">
        <v>89</v>
      </c>
      <c r="D55" s="24" t="s">
        <v>45</v>
      </c>
      <c r="E55" s="27">
        <v>160580</v>
      </c>
      <c r="F55" s="27"/>
      <c r="G55" s="27">
        <f t="shared" si="4"/>
        <v>160580</v>
      </c>
      <c r="H55" s="27">
        <v>160580</v>
      </c>
      <c r="I55" s="27"/>
      <c r="J55" s="27">
        <f t="shared" si="5"/>
        <v>160580</v>
      </c>
    </row>
    <row r="56" spans="1:34" s="3" customFormat="1" ht="16.8" customHeight="1" x14ac:dyDescent="0.25">
      <c r="A56" s="22" t="s">
        <v>98</v>
      </c>
      <c r="B56" s="37"/>
      <c r="C56" s="31" t="s">
        <v>106</v>
      </c>
      <c r="D56" s="32" t="s">
        <v>107</v>
      </c>
      <c r="E56" s="27">
        <v>368271</v>
      </c>
      <c r="F56" s="27">
        <v>379200</v>
      </c>
      <c r="G56" s="27">
        <f t="shared" si="4"/>
        <v>747471</v>
      </c>
      <c r="H56" s="27">
        <v>345471</v>
      </c>
      <c r="I56" s="27">
        <v>325000</v>
      </c>
      <c r="J56" s="27">
        <f t="shared" si="5"/>
        <v>670471</v>
      </c>
    </row>
    <row r="57" spans="1:34" s="3" customFormat="1" ht="39.6" x14ac:dyDescent="0.25">
      <c r="A57" s="22" t="s">
        <v>88</v>
      </c>
      <c r="B57" s="23" t="s">
        <v>104</v>
      </c>
      <c r="C57" s="31" t="s">
        <v>89</v>
      </c>
      <c r="D57" s="32" t="s">
        <v>45</v>
      </c>
      <c r="E57" s="27">
        <v>111400</v>
      </c>
      <c r="F57" s="27"/>
      <c r="G57" s="27">
        <f t="shared" ref="G57:G59" si="10">E57+F57</f>
        <v>111400</v>
      </c>
      <c r="H57" s="27">
        <v>110594</v>
      </c>
      <c r="I57" s="27"/>
      <c r="J57" s="27">
        <f t="shared" ref="J57:J59" si="11">H57+I57</f>
        <v>110594</v>
      </c>
    </row>
    <row r="58" spans="1:34" s="3" customFormat="1" ht="66" x14ac:dyDescent="0.25">
      <c r="A58" s="22" t="s">
        <v>88</v>
      </c>
      <c r="B58" s="23" t="s">
        <v>105</v>
      </c>
      <c r="C58" s="31" t="s">
        <v>89</v>
      </c>
      <c r="D58" s="32" t="s">
        <v>45</v>
      </c>
      <c r="E58" s="27">
        <v>100000</v>
      </c>
      <c r="F58" s="27"/>
      <c r="G58" s="27">
        <f t="shared" si="10"/>
        <v>100000</v>
      </c>
      <c r="H58" s="27">
        <v>99985.91</v>
      </c>
      <c r="I58" s="27"/>
      <c r="J58" s="27">
        <f t="shared" si="11"/>
        <v>99985.91</v>
      </c>
    </row>
    <row r="59" spans="1:34" s="3" customFormat="1" ht="42" customHeight="1" x14ac:dyDescent="0.25">
      <c r="A59" s="22" t="s">
        <v>108</v>
      </c>
      <c r="B59" s="23" t="s">
        <v>109</v>
      </c>
      <c r="C59" s="22" t="s">
        <v>110</v>
      </c>
      <c r="D59" s="24" t="s">
        <v>111</v>
      </c>
      <c r="E59" s="27"/>
      <c r="F59" s="27">
        <v>58563</v>
      </c>
      <c r="G59" s="27">
        <f t="shared" si="10"/>
        <v>58563</v>
      </c>
      <c r="H59" s="27"/>
      <c r="I59" s="27">
        <v>58323.98</v>
      </c>
      <c r="J59" s="27">
        <f t="shared" si="11"/>
        <v>58323.98</v>
      </c>
    </row>
    <row r="60" spans="1:34" s="1" customFormat="1" ht="13.8" x14ac:dyDescent="0.25"/>
    <row r="61" spans="1:34" s="1" customFormat="1" ht="13.8" x14ac:dyDescent="0.25"/>
    <row r="62" spans="1:34" s="1" customFormat="1" ht="13.8" x14ac:dyDescent="0.25"/>
    <row r="63" spans="1:34" s="1" customFormat="1" ht="26.4" customHeight="1" x14ac:dyDescent="0.25">
      <c r="A63" s="54" t="s">
        <v>17</v>
      </c>
      <c r="B63" s="54"/>
      <c r="C63" s="54"/>
      <c r="D63" s="17"/>
      <c r="E63" s="18"/>
      <c r="F63" s="19"/>
      <c r="G63" s="52" t="s">
        <v>18</v>
      </c>
      <c r="H63" s="52"/>
      <c r="I63" s="19"/>
      <c r="J63" s="19"/>
      <c r="K63" s="19"/>
      <c r="L63" s="19"/>
      <c r="M63" s="19"/>
      <c r="N63" s="19"/>
      <c r="O63" s="19"/>
      <c r="P63" s="12"/>
      <c r="Q63" s="52" t="s">
        <v>18</v>
      </c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17"/>
      <c r="AD63" s="17"/>
      <c r="AE63" s="17"/>
      <c r="AF63" s="12"/>
      <c r="AG63" s="12"/>
      <c r="AH63" s="12"/>
    </row>
    <row r="64" spans="1:34" s="1" customFormat="1" ht="14.4" customHeight="1" x14ac:dyDescent="0.25">
      <c r="A64" s="13"/>
      <c r="B64" s="14"/>
      <c r="C64" s="14"/>
      <c r="D64" s="14"/>
      <c r="E64" s="21" t="s">
        <v>19</v>
      </c>
      <c r="F64" s="20"/>
      <c r="G64" s="51" t="s">
        <v>20</v>
      </c>
      <c r="H64" s="51"/>
      <c r="I64" s="20"/>
      <c r="J64" s="20"/>
      <c r="K64" s="20"/>
      <c r="L64" s="15"/>
      <c r="M64" s="16"/>
      <c r="N64" s="16"/>
      <c r="O64" s="16"/>
      <c r="P64" s="14"/>
      <c r="Q64" s="53" t="s">
        <v>20</v>
      </c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14"/>
      <c r="AD64" s="14"/>
      <c r="AE64" s="14"/>
      <c r="AF64" s="14"/>
      <c r="AG64" s="14"/>
      <c r="AH64" s="14"/>
    </row>
    <row r="65" spans="5:10" s="1" customFormat="1" ht="13.8" x14ac:dyDescent="0.25"/>
    <row r="66" spans="5:10" s="1" customFormat="1" ht="13.8" x14ac:dyDescent="0.25"/>
    <row r="67" spans="5:10" s="34" customFormat="1" ht="10.199999999999999" x14ac:dyDescent="0.2">
      <c r="E67" s="33">
        <f>SUM(E17:E59)</f>
        <v>52058385</v>
      </c>
      <c r="F67" s="33">
        <f t="shared" ref="F67:J67" si="12">SUM(F17:F59)</f>
        <v>59293553</v>
      </c>
      <c r="G67" s="33">
        <f t="shared" si="12"/>
        <v>111351938</v>
      </c>
      <c r="H67" s="33">
        <f>SUM(H17:H59)</f>
        <v>48684591.189999998</v>
      </c>
      <c r="I67" s="33">
        <f t="shared" si="12"/>
        <v>56534775.759999998</v>
      </c>
      <c r="J67" s="33">
        <f t="shared" si="12"/>
        <v>105219366.94999999</v>
      </c>
    </row>
    <row r="68" spans="5:10" s="1" customFormat="1" ht="13.8" x14ac:dyDescent="0.25"/>
    <row r="69" spans="5:10" s="1" customFormat="1" ht="13.8" x14ac:dyDescent="0.25"/>
    <row r="70" spans="5:10" s="1" customFormat="1" ht="13.8" x14ac:dyDescent="0.25"/>
    <row r="71" spans="5:10" s="1" customFormat="1" ht="13.8" x14ac:dyDescent="0.25"/>
    <row r="72" spans="5:10" s="1" customFormat="1" ht="13.8" x14ac:dyDescent="0.25"/>
    <row r="73" spans="5:10" s="1" customFormat="1" ht="13.8" x14ac:dyDescent="0.25"/>
    <row r="74" spans="5:10" s="1" customFormat="1" ht="13.8" x14ac:dyDescent="0.25"/>
    <row r="75" spans="5:10" s="1" customFormat="1" ht="13.8" x14ac:dyDescent="0.25"/>
    <row r="76" spans="5:10" s="1" customFormat="1" ht="13.8" x14ac:dyDescent="0.25"/>
    <row r="77" spans="5:10" s="1" customFormat="1" ht="13.8" x14ac:dyDescent="0.25"/>
    <row r="78" spans="5:10" s="1" customFormat="1" ht="13.8" x14ac:dyDescent="0.25"/>
    <row r="79" spans="5:10" s="1" customFormat="1" ht="13.8" x14ac:dyDescent="0.25"/>
    <row r="80" spans="5:10" s="1" customFormat="1" ht="13.8" x14ac:dyDescent="0.25"/>
  </sheetData>
  <mergeCells count="29">
    <mergeCell ref="G64:H64"/>
    <mergeCell ref="C14:C15"/>
    <mergeCell ref="D14:D15"/>
    <mergeCell ref="Q63:AB63"/>
    <mergeCell ref="Q64:AB64"/>
    <mergeCell ref="A63:C63"/>
    <mergeCell ref="G63:H63"/>
    <mergeCell ref="E14:G14"/>
    <mergeCell ref="H14:J14"/>
    <mergeCell ref="A14:A15"/>
    <mergeCell ref="A26:A27"/>
    <mergeCell ref="B26:B27"/>
    <mergeCell ref="A29:A30"/>
    <mergeCell ref="A32:A33"/>
    <mergeCell ref="A6:J6"/>
    <mergeCell ref="A8:J8"/>
    <mergeCell ref="A9:J9"/>
    <mergeCell ref="A11:J11"/>
    <mergeCell ref="B14:B15"/>
    <mergeCell ref="B23:B24"/>
    <mergeCell ref="B17:B22"/>
    <mergeCell ref="B32:B33"/>
    <mergeCell ref="B28:B31"/>
    <mergeCell ref="A36:A41"/>
    <mergeCell ref="B53:B54"/>
    <mergeCell ref="B36:B42"/>
    <mergeCell ref="B49:B50"/>
    <mergeCell ref="B55:B56"/>
    <mergeCell ref="B43:B47"/>
  </mergeCells>
  <pageMargins left="0.70866141732283472" right="0.70866141732283472" top="0.35433070866141736" bottom="0.35433070866141736" header="0.31496062992125984" footer="0.31496062992125984"/>
  <pageSetup paperSize="9" scale="77" fitToHeight="2" orientation="landscape" verticalDpi="0" r:id="rId1"/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2017</vt:lpstr>
      <vt:lpstr>Лист1</vt:lpstr>
      <vt:lpstr>'2017'!Область_печати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Цилюрик Віталій Вікторович</dc:creator>
  <cp:lastModifiedBy>Цилюрик Віталій Вікторович</cp:lastModifiedBy>
  <cp:lastPrinted>2018-02-19T15:47:14Z</cp:lastPrinted>
  <dcterms:created xsi:type="dcterms:W3CDTF">2018-02-15T06:44:18Z</dcterms:created>
  <dcterms:modified xsi:type="dcterms:W3CDTF">2018-02-20T06:19:10Z</dcterms:modified>
</cp:coreProperties>
</file>