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0152" windowHeight="10728" tabRatio="0" activeTab="0"/>
  </bookViews>
  <sheets>
    <sheet name="Sheet1" sheetId="1" r:id="rId1"/>
  </sheets>
  <definedNames>
    <definedName name="_xlnm.Print_Area" localSheetId="0">'Sheet1'!$A$1:$BR$558</definedName>
  </definedNames>
  <calcPr fullCalcOnLoad="1" refMode="R1C1"/>
</workbook>
</file>

<file path=xl/sharedStrings.xml><?xml version="1.0" encoding="utf-8"?>
<sst xmlns="http://schemas.openxmlformats.org/spreadsheetml/2006/main" count="1471" uniqueCount="395">
  <si>
    <t>рішення Сумської міської ради  від 24.12.2015 року № 174-МР "Про програму "Фізична культура і спорт міста Суми на 2016-2018 роки"(зі змінами)</t>
  </si>
  <si>
    <t>кількість штатних працівників</t>
  </si>
  <si>
    <t>обсяг витрат на проведення Днів сталої енергії</t>
  </si>
  <si>
    <t>середні витрати на проведення заходу</t>
  </si>
  <si>
    <t>Обсяг коштів на поточне утримання пунктів охорони громадського порядку</t>
  </si>
  <si>
    <t>Обсяг коштів на утримання автотранспорту</t>
  </si>
  <si>
    <t>Кількість автомобілів, що утримуються</t>
  </si>
  <si>
    <t>Обсяг витрат</t>
  </si>
  <si>
    <t xml:space="preserve">Кількість іміджевої продукції з символікою міста Суми </t>
  </si>
  <si>
    <t>3.3</t>
  </si>
  <si>
    <t>Середні витрати на один комплект іміджевої продукції з символікою міста Суми</t>
  </si>
  <si>
    <t>Відхилення показників ефективності:
станом на 01.01.2017 року відхилення щодо середньорічних витрат у сумі 35,00 грн утворилось  за рахунок меншої вартості послуг страхування.</t>
  </si>
  <si>
    <t>Обсяг витрат на реалізацію проектів, спрямованих на промоцію міських пам’яток, створення єдиного інформаційного середовища</t>
  </si>
  <si>
    <t>Обсяг витрат на оплату послуг з розробки та розміщення інформації про події, заходи, фестивалі в місті Суми</t>
  </si>
  <si>
    <t>2.3</t>
  </si>
  <si>
    <t>Кількість розроблених проектів</t>
  </si>
  <si>
    <t>Середня вартість розробки 1 проекту</t>
  </si>
  <si>
    <t>Одн. Виміру</t>
  </si>
  <si>
    <t>середні витрати на створення 1 точки доступу</t>
  </si>
  <si>
    <t>середні витрати на підтримку 1 точки зони вільного доступу</t>
  </si>
  <si>
    <t>Відхилення показників  утворилось за рахунок економії бюджетних коштів.</t>
  </si>
  <si>
    <t>Відхилення показника ефективності:
відхилення утворилось за рахунок того, що фінансова підтримка була надана тільки двум громадським формуванням .</t>
  </si>
  <si>
    <t>кількість зон вільного доступу</t>
  </si>
  <si>
    <t xml:space="preserve">Відхилення показника затрат:відхилення утворилось за рахунок кредиторської заборгованості, яка утворилась по сплаті внесків до ВАОМС "Асоціація міст України" у сумі 20188,00 грн.
</t>
  </si>
  <si>
    <t>№ з/п</t>
  </si>
  <si>
    <t>Показники</t>
  </si>
  <si>
    <t>Джерело інформації</t>
  </si>
  <si>
    <t>од.</t>
  </si>
  <si>
    <t>%</t>
  </si>
  <si>
    <t>(підпис)</t>
  </si>
  <si>
    <t>(ініціали та прізвище)</t>
  </si>
  <si>
    <t>-</t>
  </si>
  <si>
    <t>грн.</t>
  </si>
  <si>
    <t>ЗАТВЕРДЖЕНО</t>
  </si>
  <si>
    <t>Затверджено паспортом бюджетної програми на звітний період</t>
  </si>
  <si>
    <t>Відхилення</t>
  </si>
  <si>
    <t>КПКВК</t>
  </si>
  <si>
    <t>Виконано за звітний період</t>
  </si>
  <si>
    <t>Начальник відділу бухгалтерського обліку та звітності, головний бухгалтер</t>
  </si>
  <si>
    <t>О.А.Костенко</t>
  </si>
  <si>
    <t>продукту</t>
  </si>
  <si>
    <t>ефективності</t>
  </si>
  <si>
    <t>якості</t>
  </si>
  <si>
    <t>розрахункові дані</t>
  </si>
  <si>
    <t>1.1</t>
  </si>
  <si>
    <t>1.2</t>
  </si>
  <si>
    <t>2.1</t>
  </si>
  <si>
    <t>3.1</t>
  </si>
  <si>
    <t>Відхилення показників продукту:</t>
  </si>
  <si>
    <t>х</t>
  </si>
  <si>
    <t>затрат</t>
  </si>
  <si>
    <t>розрахунок до кошторису, звіт за 2 квартал 2013року</t>
  </si>
  <si>
    <t>1.3</t>
  </si>
  <si>
    <t>0318600</t>
  </si>
  <si>
    <t>"Інші видатки"</t>
  </si>
  <si>
    <t>Завдання 5: Проведення капітального ремонту</t>
  </si>
  <si>
    <t>кількість пунктів  охорони громадського порядку</t>
  </si>
  <si>
    <t>кількість автомобілів, які утримуються</t>
  </si>
  <si>
    <t>2.2</t>
  </si>
  <si>
    <t>Відомості (Р-1) про зареєстровані, розкриті та нерозкриті злочини. Аналіз оперативно-службової діяльності СМУ УМВС України у Сумській області</t>
  </si>
  <si>
    <t>середньорічні витрати на утримання 1 пункту охорони громадського порядку</t>
  </si>
  <si>
    <t>Відхилення показника ефективності:</t>
  </si>
  <si>
    <t>середньорічні витрати на утримання 1 автомобілю</t>
  </si>
  <si>
    <t xml:space="preserve">обсяг витрат </t>
  </si>
  <si>
    <t>кількість громадських формувань з охорони громадського порядку</t>
  </si>
  <si>
    <t>кількість членів громадських формувань з охорони громадського порядку</t>
  </si>
  <si>
    <t>кількість об"єктів, що планується відремонтувати</t>
  </si>
  <si>
    <t>середня вартість ремонту 1 об"єкту</t>
  </si>
  <si>
    <t>розрахунок до кошторису</t>
  </si>
  <si>
    <t>4.1</t>
  </si>
  <si>
    <t>обсяг видатків</t>
  </si>
  <si>
    <t>кількість населення міста</t>
  </si>
  <si>
    <t>осіб</t>
  </si>
  <si>
    <t>Статистичний бюлетень "Економічне та соціальне становище міста Суми"</t>
  </si>
  <si>
    <t>середні витрати на 1 особу</t>
  </si>
  <si>
    <t>обсяг витрат</t>
  </si>
  <si>
    <t>темп зростання витрат на проведення одного заходу, порівняно з попереднім роком</t>
  </si>
  <si>
    <t>3.2</t>
  </si>
  <si>
    <t>кількість заходів</t>
  </si>
  <si>
    <t>Відхилення показників затрат:
видатки планується здійснити в ІІ півріччі 2013 року.</t>
  </si>
  <si>
    <t>Відхилення показників продукту:
видатки планується здійснити в ІІ півріччі 2013 року.</t>
  </si>
  <si>
    <t xml:space="preserve">Відхилення показників продукту:
</t>
  </si>
  <si>
    <t>середньомісячні витрати на забезпечення підтримки 1 комунального підприємства</t>
  </si>
  <si>
    <t>середньорічні витрати фінансової підтримки 1 громадського формування з охорони громадського порядку</t>
  </si>
  <si>
    <t>кількість комунальних підприємств у сфері фізичної культури та спорту</t>
  </si>
  <si>
    <t>Завдання 3.1 - Матеріальне забезпечення.</t>
  </si>
  <si>
    <t>Завдання 3.2 - Інфраструктура виконавчих органів.</t>
  </si>
  <si>
    <t>Завдання 3.2.1. Реорганізація та впорядкування локальних обчислювальних мереж Сумської міської ради.</t>
  </si>
  <si>
    <t>Завдання 3.3 - Муніципальна інфраструктура</t>
  </si>
  <si>
    <t>Завдання 3.4.1. Впровадження та підтримка роботи систем електронного документообігу</t>
  </si>
  <si>
    <t>Завдання 3.5.1. Забезпечення безперебійного функціонування електронних сервісів та ІТ-послуг (забезпечення 2-ї лінії підтримки)</t>
  </si>
  <si>
    <t>Завдання 3.5.3. Забезпечення безперебійної роботи комп'ютерної техніки та локальних мереж.</t>
  </si>
  <si>
    <t>Завдання 3.5.5. Забезпечення працездатності веб-ресурсів міської ради</t>
  </si>
  <si>
    <t>0813600</t>
  </si>
  <si>
    <t>розрахунок до кошторису, звіт за  2017 рік.</t>
  </si>
  <si>
    <t>рішення Сумської міської ради 16.12.2015 року № 119-МР «Про міську комплексну програму «Правопорядок» на 2016-2018 роки» (зі змінами)</t>
  </si>
  <si>
    <t>розрахунок до кошторису, звіт за  2017рік</t>
  </si>
  <si>
    <t>розрахунок до кошторису, звіт за  2017 рік</t>
  </si>
  <si>
    <t>Відхилення показника затрат:
відхилення утворилось за рахунок того, що фінансова підтримка громадським формуванням була надана тільки 44 членам ГФ "Шериф" та "Альфа", утворилась економія по сплаті комісії банку в сумі 11,68 грн.</t>
  </si>
  <si>
    <t>Середня вартість поточного ремонту приміщень 1-го ПОГП</t>
  </si>
  <si>
    <t>кількість ПОГП, в яких планується провести поточний ремонт приміщень</t>
  </si>
  <si>
    <t>розрахунок до кошторису, звіт за 2017 рік.</t>
  </si>
  <si>
    <t>Завдання  3: Виконання міської Програми "Автоматизація муніципальних телекомунікаційних систем на 2017-2019 роки в м. Суми"</t>
  </si>
  <si>
    <t>Завдання 3.1.1. Стандартизація парку комп’ютерної техніки та обладнання</t>
  </si>
  <si>
    <t>Завдання 3.1.1.1. Ремонт комп’ютерної техніки Сумської міської ради, що вводиться в домен.</t>
  </si>
  <si>
    <t>Кількість модернізованих комп'ютерів</t>
  </si>
  <si>
    <t>рішення Сумської міської ради від 21 грудня 2016 року № 1619-МР « Про Міську програму «Автоматизація муніципальних телекомунікаційних систем на 2017-2019 роки».(зі змінами)</t>
  </si>
  <si>
    <t>Середні видатки на модернізацію 1 комп'ютера</t>
  </si>
  <si>
    <t>Відхилення показника затрат:для модернізації комп'ютерів було закуплено матеріалів на суму 54 140,00 грн., було модернізовано 7 комп'ютерів на суму 2979,00 грн.Економія склала суму 6381,00 грн.</t>
  </si>
  <si>
    <t>Відхилення показника продукту:було модернізовано 7 комп'ютерів на суму 2979,00 грн., матеріали придбано для 127 комп'ютерів.</t>
  </si>
  <si>
    <t>Відхилення показника ефективності утворилось за рахунок меншої кількості модернізованих комп'ютерів з урахуванням складності ремонту кожного.</t>
  </si>
  <si>
    <t>Завдання 3.2.1.1. Реорганізація та впорядкування локальних обчислювальних мереж Сумської міської ради</t>
  </si>
  <si>
    <t>Кількість робочих місць, які планується реорганізувати</t>
  </si>
  <si>
    <t>Середні видатки на реорганізацію 1 робочого місця</t>
  </si>
  <si>
    <t xml:space="preserve"> Завдання 3.3.1.2. «Створення колективних Wi-Fi точок та зон вільного доступу громадян до електронних сервісів Сумської міської ради та мережі Інтернет»</t>
  </si>
  <si>
    <t xml:space="preserve">Відхилення показника затрат: економія коштів на послуги з монтажу точок доступу склала суму 20,00 грн.
</t>
  </si>
  <si>
    <t xml:space="preserve">Відхилення показника продукту: було встановлено 8 точок доступу замість 5-ти запланованих.
</t>
  </si>
  <si>
    <t xml:space="preserve">Відхилення показника ефективності: за рахунок меншої вартості було встановлено 8 точок доступу, що дало економію середніх витрат на 1 точку у сумі 6378,00 грн.
</t>
  </si>
  <si>
    <t>Завдання 3.3.1. Розвиток Wi-Fi-мережі міста</t>
  </si>
  <si>
    <t>Завдання 3.3.1.1. «Оренда каналів передачі даних»</t>
  </si>
  <si>
    <t>Завдання 3.3.1.3.. «Підтримка функціонування Wi –Fi  зон вільного доступу до мережі Інтернет в місті»</t>
  </si>
  <si>
    <t>Кількість мереж, які планується взяти в оренду/кількість каналів, які планується взяти в оренду</t>
  </si>
  <si>
    <t>Кількість місяців оренди</t>
  </si>
  <si>
    <t>км/од.</t>
  </si>
  <si>
    <t>Середні видатки на оренду 1 км мереж/1 канала</t>
  </si>
  <si>
    <t>504</t>
  </si>
  <si>
    <t>Відхилення показника ефективності утворилось за рахунок підключення 3 каналів з 6-ти з 21 грудня 2017 року.</t>
  </si>
  <si>
    <t>Відхилення показника затрат: утворилось за рахунок витрат на реорганізацію меншої кількості робочих місць.</t>
  </si>
  <si>
    <t>Обсяг витрат, в тому числі на придбання матеріалів</t>
  </si>
  <si>
    <t>Відхилення показника продукту:утворилось за рахунок меншої кількості робочих місць, які фактично було реорганізовано.</t>
  </si>
  <si>
    <t>Відхилення показника ефективності утворилось за рахунок фактично реорганізованих робочих місць, за винятком витрат на матеріали в кількості 778 771,44 грн., які було придбано для реорганізації планової кількості робочих місць.</t>
  </si>
  <si>
    <t>термін підтримки</t>
  </si>
  <si>
    <t>міс</t>
  </si>
  <si>
    <t>Відхилення показника продукту: відхилення за рахунок підключення нових точок доступу з грудня 2017 року.</t>
  </si>
  <si>
    <t>Відхилення показника ефективності утворилось за рахунок підключення нових точок доступу з грудня 2017 року в кількості 4 од., та меншої суми оплати за підтримку за жовтень за винятком тижня, протягом якого було здійснено ремонт 1 точки доступу.</t>
  </si>
  <si>
    <t>Відхилення показника затрат: утворилось за рахунок: економії коштів по сплаті за послуги з монтажу 8-ми точок доступу на суму 20,00 грн.; підтримку нових точок доступу з грудня 2017 року в кількості 4 од. на суму 2000,00 грн.(при планової суми на підтримку 8 точок на суму 4000,00 грн.), та меншої суми оплати за підтримку за жовтень за винятком тижня (-209,68 грн.), протягом якого було здійснено ремонт 1 точки доступу на суму 800,00 грн. Кошти в сумі 500,00 грн.чистий залишок не використаних коштів.</t>
  </si>
  <si>
    <t>Завдання 3.4 - Інформатизація виконавчих органів.</t>
  </si>
  <si>
    <t>Завдання 3.4.1.1. Впровадження нової системи електронного документообігу</t>
  </si>
  <si>
    <t>Кількість модулів системи, що планується підтримувати</t>
  </si>
  <si>
    <t>Середні видатки на впровадження 1 модуля системи</t>
  </si>
  <si>
    <t>Завдання 3.4.1.2. Супроводження та підтримка програми електронного документообігу (Дело)</t>
  </si>
  <si>
    <t>Кількість робочих місць, які планується підтримувати</t>
  </si>
  <si>
    <t>Кількість місяців підтримки</t>
  </si>
  <si>
    <t>Середні видатки на підтримку 1 робочого місця</t>
  </si>
  <si>
    <t>Відхилення показника продукту: утворилось за рахунок підтримки меншої кількості робочих місць.</t>
  </si>
  <si>
    <t>Відхилення показників ефективності утворилось за рахунок здійснення витрат на обслуговування меншої кількості робочих місць, з розрахунку на 1 робоче місце</t>
  </si>
  <si>
    <t>Завдання 3.4. Розгортання новітніх ІТ-послуг</t>
  </si>
  <si>
    <t>Кількість комп’ютерів, на яких планується розгорнути послугу</t>
  </si>
  <si>
    <t>Середні видатки на розгортання послуги на 1 комп’ютері</t>
  </si>
  <si>
    <t xml:space="preserve">Відхилення показника затрат: утворилось за рахунок підтримки меншої кількості робочих місць.
</t>
  </si>
  <si>
    <t>Відхилення показників  утворилось за рахунок меншої кількості комп'ютерів, на які було розгорнуто послугу.</t>
  </si>
  <si>
    <t>Відхилення показників  продукту утворилось за рахунок меншої кількості комп'ютерів, на які було розгорнуто послугу.</t>
  </si>
  <si>
    <t>Завдання  3.5 - Супровід роботи та забезпечення працездатності систем виконавчих органів</t>
  </si>
  <si>
    <t>Кількість сервісів</t>
  </si>
  <si>
    <t>Середні видатки на забезпечення функціонування 1 електронного сервісу</t>
  </si>
  <si>
    <t>Відхилення показників  утворилось за рахунок економії коштів з приводу функціонування 1-го сервісу з листопада, 3-х сервісів з грудня поточного року..</t>
  </si>
  <si>
    <t>Відхилення показників  утворилось за рахунок  функціонування 1-го сервісу з листопада, 3-х сервісів з грудня поточного року, що дало економію середніх видатків в сумі 3500,00 грн. на забезпечення функціонування 1-го сервісу.</t>
  </si>
  <si>
    <t>Завдання 3.5 2. Забезпечення безперебійної роботи ІТ-послуг користувачів (забезпечення 1-ї лінії підтримки)</t>
  </si>
  <si>
    <t>Завдання 3.5.2.1 Підтримка роботи ІТ-послуги Служба каталогу</t>
  </si>
  <si>
    <t>Кількість користувачів, яким планується надавати підтримку</t>
  </si>
  <si>
    <t>Середні видатки на підтримку 1 користувача</t>
  </si>
  <si>
    <t>Відхилення показників  утворилось за рахунок підтримки меншої середньомісячної кількості користувачів.</t>
  </si>
  <si>
    <t>Відхилення показників  продукту утворилось меншої середньомісячної кількості користувачів.</t>
  </si>
  <si>
    <t>Відхилення показників  утворилось за рахунок  підтримки меншої середньомісячної кількості користувачів, що дало економію на підтримку 1-го користувача в сумі 74,00 грн.</t>
  </si>
  <si>
    <t>Завдання 3.5.3.1. Підтримка роботи комп’ютерної техніки та локальних мереж</t>
  </si>
  <si>
    <t xml:space="preserve">Середні видатки на підтримку 1 комп’ютера  </t>
  </si>
  <si>
    <t>Відхилення показників  утворилось за рахунок  підтримки меншої середньомісячної кількості користувачів, що дало економію на підтримку 1-го користувача в сумі 296,00 грн.</t>
  </si>
  <si>
    <t>Відхилення показників  утворилось за рахунок підтримки меншої середньомісячної кількості користувачів з урахуванням складності наданого обслуговування.</t>
  </si>
  <si>
    <t>Об’єм даних, що планується резервувати, Гб.</t>
  </si>
  <si>
    <t>Відхилення показників  продукту утворилось за рахунок економії бюджетних коштів.</t>
  </si>
  <si>
    <t>Відхилення показників   утворилось за рахунок економії бюджетних коштів.</t>
  </si>
  <si>
    <t>Кількість робочих місць, які необхідно підтримувати</t>
  </si>
  <si>
    <t>Завдання 3.5.3.3 Забезпечення функціонування структурованої кабельної системи</t>
  </si>
  <si>
    <t>Завдання 3.5.3.2 Зберігання резервних копій баз даних.</t>
  </si>
  <si>
    <t>Середні видатки на резервування 1 Гб</t>
  </si>
  <si>
    <t>Відхилення показників  утворилось за рахунок економії бюджетних коштів при придбанні матеріалів.</t>
  </si>
  <si>
    <t>Відхилення показників  продукту утворилось за рахунок збільшення кількості робочих місць.</t>
  </si>
  <si>
    <t>Завдання 3.5.3.4 Підтримка роботи систем відеоспостереження</t>
  </si>
  <si>
    <t>Кількість відеокамер, що планується підтримувати</t>
  </si>
  <si>
    <t>Середні видатки на підтримку 1 відеокамери</t>
  </si>
  <si>
    <t>Завдання 3.5.4.1 Технічне забезпечення проведення заходів міської ради.</t>
  </si>
  <si>
    <t>Кількість годин заходів, проведення яких планується забезпечувати</t>
  </si>
  <si>
    <t>Середні видатки на забезпечення 1 години проведення заходу</t>
  </si>
  <si>
    <t>Відхилення показників  утворилось за рахунок  економії бюджетних коштів.</t>
  </si>
  <si>
    <t>Завдання 3.5.4.3 Технічне забезпечення проведення засідань постійних депутатських комісій</t>
  </si>
  <si>
    <t>Кількість годин засідань комісій, що необхідно забезпечити</t>
  </si>
  <si>
    <t>Завдання 3.5.5.1. Технічна підтримка роботи веб-ресурсів міської ради</t>
  </si>
  <si>
    <t>Кількість веб-ресурсів, що планується підтримувати</t>
  </si>
  <si>
    <t>Середні видатки на підтримку 1 веб-ресурсу</t>
  </si>
  <si>
    <t>Завдання 3.5.6 - Реалізація пілотних проектів по впровадженню електронних сервісів</t>
  </si>
  <si>
    <t>Завдання 3.5.6.1Реалізація пілотного проекту по інформатизації закладів охорони здоров’я міста Суми</t>
  </si>
  <si>
    <t>Кількість етапів проекту, що планується реалізувати</t>
  </si>
  <si>
    <t>Середні видатки на реалізацію 1 етапу проекту</t>
  </si>
  <si>
    <t>Відхилення показників  утворилось за рахунок не виконаних в повному обсязі робіт.</t>
  </si>
  <si>
    <t>Відхилення показників  продукту утворилось за рахунок не виконаних в повному обсязі робіт.</t>
  </si>
  <si>
    <t>Завдання 4: Виконання міської «Програми Відкритий інформаційний простір м. Суми» на 2016-2018 роки</t>
  </si>
  <si>
    <t>Завдання 4.1. Інформаційна прозорість</t>
  </si>
  <si>
    <t>Завдання 4.1.1 Інформаційна та промоційна кампанія громадського (партиципаторного) бюджету м.Суми.</t>
  </si>
  <si>
    <t xml:space="preserve">Обсяг витрат </t>
  </si>
  <si>
    <t>Відхилення показника затрат: 
відхилення витрат склалось за рахунок економії бюджетних коштів.</t>
  </si>
  <si>
    <t>кількість поліграфічної продукції</t>
  </si>
  <si>
    <t>кількість інших інформаційних матеріалів</t>
  </si>
  <si>
    <t>кількість оголошень</t>
  </si>
  <si>
    <t>Середня вартість 1 поліграфічної продукції</t>
  </si>
  <si>
    <t>Середня вартість 1 інформаційного матеріалу</t>
  </si>
  <si>
    <t>Середня вартість 1 оголошення</t>
  </si>
  <si>
    <t>Відхилення  склалось за рахунок більшої кількості виготовлених інформаційних матеріалів та меншої кількості поліграфічної продукції та оголошень.</t>
  </si>
  <si>
    <t>кількість відеоматеріалів</t>
  </si>
  <si>
    <t>кількість аудіоматеріалів</t>
  </si>
  <si>
    <t>Середні видатки на створення та розміщення 1 матеріалу на телебаченні</t>
  </si>
  <si>
    <t>Середні видатки на створення та розміщення 1 матеріалу на радіо</t>
  </si>
  <si>
    <t>Відхилення  склалось за рахунок більшої кількості виготовлених інформаційних матеріалів.</t>
  </si>
  <si>
    <t>Відхилення  середніх видатків склалось за рахунок більшої кількості виготовлених інформаційних матеріалів.</t>
  </si>
  <si>
    <t>4.1.1.3. Забезпечення розміщення промоційних матеріалів у друкованих ЗМІ.</t>
  </si>
  <si>
    <t>кількість ЗМІ</t>
  </si>
  <si>
    <t>кількість матеріалів для розміщення у друкованих ЗМІ</t>
  </si>
  <si>
    <t xml:space="preserve">середній розмір вартості розміщення  одиниці матеріалу (2 ст. формату А3) </t>
  </si>
  <si>
    <t>кількість постерів для білбордів</t>
  </si>
  <si>
    <t>середня вартість виготовлення 1 постеру для білборду</t>
  </si>
  <si>
    <t>Відхилення  склалось за рахунок виготовлених оголошень</t>
  </si>
  <si>
    <t>Відхилення  середніх видатків склалось за рахунок  виготовлених оголошень та постерів меншої вартості.</t>
  </si>
  <si>
    <t xml:space="preserve">4.1.1.4. Забезпечення розробки, виготовлення та розміщення візуальних матеріалів на зовнішніх рекламних носіях                                     </t>
  </si>
  <si>
    <t>Відхилення  склалось за рахунок меншої кількості ЗМІ</t>
  </si>
  <si>
    <t>Відхилення  середніх видатків склалось за рахунок  меншої кількості ЗМІ та більшої кількості розміщених матеріалів, що дало економію середнього розміру вартості  в сумі 500,00 грн.</t>
  </si>
  <si>
    <t>частка жителів м. Суми, залучених до участі у процесі громадського (партиципаторного) бюджету, у загальній кількості жителів міста</t>
  </si>
  <si>
    <t>кількість поданих проектів</t>
  </si>
  <si>
    <t>4.2</t>
  </si>
  <si>
    <t>4.3</t>
  </si>
  <si>
    <t>4.4</t>
  </si>
  <si>
    <t>динаміка  кількості поданих проектів у порівнянні з попереднім роком</t>
  </si>
  <si>
    <t>кількість жителів міста, що взяли участь у голосуванні за проекти</t>
  </si>
  <si>
    <t>Відхилення показника затрат: 
відхилення витрат склалось за рахунок того, що з запланованих 3-х проектів проведено 2. Залишок невикористаних коштів: по проекту "Архітектурна спадщина" на суму 13241,33 грн.;по проекту "Ніч міста" на суму 9978,18 грн.Проект "Погляд сумчан" на суму 17300,00 грн. не здійснювался.Економія коштів на розміщення інформації на суму 375,96 грн.</t>
  </si>
  <si>
    <t>Відхилення відбулось склалось за рахунок того, що з запланованих 3-х проектів проведено 2.</t>
  </si>
  <si>
    <t>Кількість заходів щодо створення та розміщення рекламних носіїв</t>
  </si>
  <si>
    <t>Середній розмір витрат на  захід щодо створення та розміщення рекламних носіїв</t>
  </si>
  <si>
    <t>Відхилення відбулось  за рахунок того, що з запланованих 3-х проектів проведено 2; проведено два заходи щодо розміщення інформації на зовнішніх носіях</t>
  </si>
  <si>
    <t xml:space="preserve"> рішення  Сумської міської ради 30.12.2015 року № 204-МР  "Про міську програму "Відкритий 
інформаційний простір м. Суми" на  2016-2018 роки"(зі змінами), розрахунок до кошторису</t>
  </si>
  <si>
    <t>Відхилення показника затрат:відхилення витрат утворилось за рахунок того, що  економія  по  створенню поліграфічної та фоторекламної продукції склала суму 14590,00 грн.,  економія по створенню відео та аудіопродукції в сумі 3800,00 грн.; не використані кошти на розміщення інформації на зовнішніх носіях-8890,00 грн.; економія коштів на виготовлення промопродукції та упаковки до неї- 15,70 грн.</t>
  </si>
  <si>
    <t>Кількість  заходів щодо створення промоційної продукції</t>
  </si>
  <si>
    <t>Кількість  заходів щодо створення промоційних  інформаційних матеріалів</t>
  </si>
  <si>
    <t>Середня вартість заходу зі створення промоційної продукції</t>
  </si>
  <si>
    <t>Середній розмір заходу з  виготовлення промоційних інформаційних матеріалів</t>
  </si>
  <si>
    <t>Завдання 4.4: Забезпечити проведення виїзних днів міста Суми в інших містах України</t>
  </si>
  <si>
    <t>Відхилення показника затрат:відхилення витрат утворилось за рахунок того, що  захід не був проведений.</t>
  </si>
  <si>
    <t>Обсяг видатків на відрядження делегацій міста Суми до інших міст України</t>
  </si>
  <si>
    <t>Кількість делегацій міста до міст України</t>
  </si>
  <si>
    <t xml:space="preserve">середня вартість одного заходу </t>
  </si>
  <si>
    <t>Відхилення показника ефективності: відхилення витрат утворилось за рахунок того, що  захід не був проведений.</t>
  </si>
  <si>
    <t>Завдання 4.5 Придбання іміджевої продукції з символікою міста Суми</t>
  </si>
  <si>
    <t>Обсяг видатків  на придбання іміджевої продукції з символікою міста Суми</t>
  </si>
  <si>
    <t>Відхилення показника затрат:відхилення витрат утворилось за рахунок того, що видатки на придбання іміджевої продукції було використано з економієй на суму 12,36 грн.</t>
  </si>
  <si>
    <t>Завдання 4.2: Промоція міста шляхом створення єдиного міського інформаційного середовища</t>
  </si>
  <si>
    <t>Завдання 4.3: Промоція м.Суми як відкритого інформаційного простору</t>
  </si>
  <si>
    <t>Завдання 4.6. Організація прийому та перебування офіційних делегацій з нагоди проведення урочистих заходів в місті Суми</t>
  </si>
  <si>
    <t>Обсяг витрат на проведення урочистих заходів</t>
  </si>
  <si>
    <t>Відхилення показника затрат:відхилення витрат утворилось за рахунок того, що видатки на проведення урочистих заходів до Дня Європи було здійснено з економією в сумі 53,64 грн.;до Дня міста з економією в сумі 955,04 грн.</t>
  </si>
  <si>
    <t>Кількість заходів</t>
  </si>
  <si>
    <t>Середні витрати на один захід</t>
  </si>
  <si>
    <t>Відхилення показника ефективності: відхилення витрат утворилось за рахунок того, що видатки на проведення урочистих заходів до Дня Європи було здійснено з економією в сумі 53,64 грн.;до Дня міста з економією в сумі 955,04 грн., що з розрахунку на 1 захід дало економію в сумі 504 грн.</t>
  </si>
  <si>
    <t>Завдання 4.7: Організація прийому та перебування делегацій з метою промоційного обміну з містами-побратимами</t>
  </si>
  <si>
    <t>Обсяг видатків на відрядження делегацій міста Суми до закордонних міст-побратимів та міст-партнерів</t>
  </si>
  <si>
    <t>Кількість делегацій міста до міст-побратимів</t>
  </si>
  <si>
    <t>Відхилення показника затрат:відхилення витрат утворилось за рахунок того, що видатки на відрядження було використано з економією в сумі 25364,57 грн.</t>
  </si>
  <si>
    <t>Відхилення показника : відрядження до Банської Бистриці не здійснювалось.</t>
  </si>
  <si>
    <t>Відхилення показника ефективності: відхилення витрат утворилось за рахунок того, що видатки на 1 відрядження не здійснювались.</t>
  </si>
  <si>
    <t>Завдання 4.8. Організація прийому та перебування делегацій з метою промоційного обміну з містами-побратимами</t>
  </si>
  <si>
    <t>Обсяг витрат для організації та проведення програм культурних обмінів з містами-побратимами</t>
  </si>
  <si>
    <t>Загальна кількість учасників творчих колективів, що залучені до програм культурних обмінів</t>
  </si>
  <si>
    <t>Відхилення показника затрат:відхилення витрат утворилось за рахунок того, що видатки на відрядження не здійснювались.</t>
  </si>
  <si>
    <t>Відхилення показника : відрядження щодо культурних обмінів  не здійснювалось.</t>
  </si>
  <si>
    <t>Середні витрати на організацію та проведення програм культурних обмінів з містами-побратимами на одного учасника</t>
  </si>
  <si>
    <t>Відхилення показника ефективності: відхилення  утворилось за рахунок того, що видатки  не здійснювались.</t>
  </si>
  <si>
    <t>Завдання 4.9. Організація доставки гуманітарної допомоги зі Швейцарії «Конвой»</t>
  </si>
  <si>
    <t>Витрати на організацію прийому гуманітарних місій</t>
  </si>
  <si>
    <t>Відхилення показника затрат: відхилення витрат утворилось за рахунок того, що видатки на відрядження в сумі 3540,00 грн. не здійснювались, економія на прийом делегацій склала суму 671,00 грн.</t>
  </si>
  <si>
    <t>Кількість місій</t>
  </si>
  <si>
    <t>Відхилення показника ефективності: відхилення  утворилось за рахунок того, що видатки  на відрядження не здійснювались, та за рахунок економії коштів на прийом представників гуманітарної місії.</t>
  </si>
  <si>
    <t>Завдання 4.10. Розширення співробітництва з містами України та зарубіжжя щодо проведення промоційно-інформаційних та мистецьких заходів в місті та за його межами (виставки, семінари, тощо)</t>
  </si>
  <si>
    <t>Обсяг видатків на прийом делегацій</t>
  </si>
  <si>
    <t>Відхилення показника затрат: відхилення витрат утворилось за рахунок того, що економія видатків на  прийом делегацій склала суму 9787,38  грн.</t>
  </si>
  <si>
    <t>Загальна кількість членів делегацій</t>
  </si>
  <si>
    <t>Середні витрати на прийом одного гостя</t>
  </si>
  <si>
    <t>Відхилення показника : одна делегація в кількості 12 осіб</t>
  </si>
  <si>
    <t>Відхилення показника ефективності: відхилення  утворилось за рахунок меншої кількості членів польської делегації.</t>
  </si>
  <si>
    <t>Завдання 4.11. Залучення іноземних експертів для застосування європейського досвіду у роботі</t>
  </si>
  <si>
    <t>Обсяг видатків на перебування іноземних експертів у м. Суми</t>
  </si>
  <si>
    <t>Кількість іноземних експертів, що планується залучити</t>
  </si>
  <si>
    <t>Відхилення показника затрат: відхилення витрат утворилось за рахунок того, що економія видатків на  перебування залучених експертів склала суму 22759,68 грн.</t>
  </si>
  <si>
    <t>Завдання 5: Виконання Програми «Фізична культура і спорт міста Суми на 2016-2018 роки»</t>
  </si>
  <si>
    <t>Завдання 5.1: Забезпечення надання підтримки КП "Тенісна Академія" СМР</t>
  </si>
  <si>
    <t>рішення Сумської міської ради від 24.12.2015 року № 174-МР «Про програму «Фізична культура і спорт міста Суми на 2016-2018 роки»(зі змінами),розрахунок до кошторису</t>
  </si>
  <si>
    <t>Відхилення показника затрат:відхилення затрат утворилось за рахунок :по з/платі та нарахуванням у сумі 9673,75 грн,економія по оплате послуг -7455,49 грн.,економія витрат на відрядження в сумі  155012,37 грн., економія по сплаті за комунальні послуги у сумі 6191,78 грн, завдяки підвищеної температурі повітря в опалювальний сезон, економія витрат на капітальний ремонт приміщення в сумі 12 031,88 грн. Витрати на заробітну плату, сплату нарахувань на заробітну плату 1 штатного працівника здійснюються за рахунок власних коштів.</t>
  </si>
  <si>
    <t>Відхилення показників ефективності:
відхилення середньомісячних витрат утворилось з урахуванням вищенаведеного відхилення витрат, що в перерахунку на середньомісячні витрати склало -15864,66 грн.</t>
  </si>
  <si>
    <t xml:space="preserve"> рішення  Сумської міської ради 30.12.2015 року № 204-МР  "Про міську програму "Відкритий 
інформаційний простір м. Суми" на  2016-2018 роки"(зі змінами), угоди про співпрацю</t>
  </si>
  <si>
    <t>Відхилення показника ефективності: відхилення  середніх витрат утворилось за рахунок економії бюджетних коштів .</t>
  </si>
  <si>
    <t>Завдання 6: Виконання «Програма підвищення енергоефективності в бюджетній сфері міста Суми на 2017-2019 роки»</t>
  </si>
  <si>
    <t xml:space="preserve"> розрахунок до кошторису, звіт за 2017 рік</t>
  </si>
  <si>
    <t>рішення Сумської міської ради від 21 грудня 2016 року № 1548 − МР «Про Програму підвищення енергоефективності в бюджетній сфері міста Суми на 2017-2019 роки» (зі змінами)</t>
  </si>
  <si>
    <t>Відхилення показника затрат:відхилення затрат утворилось за рахунок економії по забезпеченні організації проведення заходу в сумі 806,00 грн.</t>
  </si>
  <si>
    <t>Відхилення показника ефективності утворилось за рахунок економії по забезпеченні організації проведення заходу в сумі 806,00 грн.</t>
  </si>
  <si>
    <t>Завдання 6.1: Проведення Днів Сталої енергії у місті Суми</t>
  </si>
  <si>
    <t>кількість внесків</t>
  </si>
  <si>
    <t>Положення про сплату вступних та членських внесків органами місцевого самоврядування до Асоціації «Енергоефективні міста України», затвердженого загальними зборами Асоціації 13 червня 2016 року,розрахунок до кошторису, звіт за 2017 рік</t>
  </si>
  <si>
    <t xml:space="preserve">сума щорічного внеску </t>
  </si>
  <si>
    <t xml:space="preserve">Завдання 6.2:  Внескі органами місцевого самоврядування до Асоціації «Енергоефективні міста України» </t>
  </si>
  <si>
    <t>Завдання 6.3: 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</si>
  <si>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кількість інформаційних матеріалів</t>
  </si>
  <si>
    <t>середні витрати на 1 інформаційний матеріал</t>
  </si>
  <si>
    <t>Завдання 7: Виконання міської «Програми фінансового забезпечення відзначення на території міста державних, професійних свят, ювілейних дат та інших подій на 2017-2019 роки»</t>
  </si>
  <si>
    <t>Завдання 7.1. Забезпечення виконання чинного законодавства щодо відзначення державних, професійних свят, ювілейних дат та пам’ятних днів державного, регіонального та місцевого значення</t>
  </si>
  <si>
    <t>Завдання 7.1.1 Придбання квіткової продукції для забезпечення покладань квітів.</t>
  </si>
  <si>
    <t>Кількість державних та місцевих заходів, з нагоди яких здійснюються покладання квітів</t>
  </si>
  <si>
    <t>рішення Сумської міської ради від 21 грудня 2016 року № 1551-МР « Про міську «Програму фінансового забезпечення відзначення на території міста державних, професійних свят, ювілейних дат та інших подій на 2017-2019 роки»</t>
  </si>
  <si>
    <t>кількість одиниць придбаної квіткової продукції (корзина, вінок, квіти розсипом)</t>
  </si>
  <si>
    <t>середня вартість одиниці квіткової продукції (корзина, вінок, квіти розсипом)</t>
  </si>
  <si>
    <t xml:space="preserve">Відхилення показників ефективності: за рахунок покладання квітів розсипом щодо вшанування пам'яті загиблих учасників АТО. </t>
  </si>
  <si>
    <t xml:space="preserve">Завдання 7.1.2. Оплата послуг із забезпечення звукового супроводження заходів </t>
  </si>
  <si>
    <t>Кількість заходів, під час яких забезпечується звукове супроводження</t>
  </si>
  <si>
    <t xml:space="preserve"> кількість годин протягом яких здійснюється звукове супроводження заходу</t>
  </si>
  <si>
    <t>середня вартість надання послуги із забезпечення звукового супроводження</t>
  </si>
  <si>
    <t>Завдання 7.1.3. Виготовлення та придбання вітальних листівок, конвертів, виготовлення вкладок.</t>
  </si>
  <si>
    <t>Кількість подій з нагоди яких здійснюється привітання листівками</t>
  </si>
  <si>
    <t>Відхилення показника витрат: за рахунок економії бюджетних коштів.</t>
  </si>
  <si>
    <t>кількість придбаних комплектів вітальних листівок</t>
  </si>
  <si>
    <t>середня вартість комплекту вітальних листівок</t>
  </si>
  <si>
    <t>Відхилення показників продукту: за рахунок придбання 100 комплектів  та 200 од.окремих листівок.</t>
  </si>
  <si>
    <t>Відхилення показників ефективності: за рахунок придбання 100 комплектів  та 200 од.окремих листівок, що з розрахунку дає економію середньої вартості в сумі 23 грн.</t>
  </si>
  <si>
    <t xml:space="preserve">Завдання 7.2. Вшанування громадян, які зробили особистий внесок до економічного та соціально-культурного розвитку міста Суми  та піднесення його статусу завдяки їх громадянської та політичної діяльності,  </t>
  </si>
  <si>
    <t>Завдання 7.2.3. Виготовлення та придбання комплектів атрибутів  почесних відзнак «За майстерність», «Подяка міського голови».</t>
  </si>
  <si>
    <t xml:space="preserve">Кількість осіб, яких нагороджено відзнакою «За майстерність», «Подяка міського голови (відзнака, футляр) </t>
  </si>
  <si>
    <t>кількість комплектів атрибутів  почесної відзнаки «За майстерність», «Подяка міського голови» (відзнака, футляр)</t>
  </si>
  <si>
    <t>середня вартість комплектів відзнак «За майстерність», «Подяка міського голови» (відзнака, футляр, посвідчення)</t>
  </si>
  <si>
    <t>Завдання 7.2.4. Придбання бланків грамот, вітальних папок, рамок та ламінувального паперу до них.</t>
  </si>
  <si>
    <t>кількість нагороджень</t>
  </si>
  <si>
    <t>Кількість нагороджених та відзначених, осіб</t>
  </si>
  <si>
    <t>середні витрати на 1 нагородження</t>
  </si>
  <si>
    <t>Завдання 7.2.5. Придбання цінних подарунків.</t>
  </si>
  <si>
    <t>Кількість осіб, яким вручені цінні подарунки</t>
  </si>
  <si>
    <t>обсяг витрат на придбання цінних подарунків</t>
  </si>
  <si>
    <t>кількість придбаних цінних подарунків</t>
  </si>
  <si>
    <t>середній розмір вартості придбання цінного подарунку</t>
  </si>
  <si>
    <t>Відхилення показника затрат:відхилення затрат утворилось за рахунок придбання подарунку до ювілею почесного громадянина міста Суми.</t>
  </si>
  <si>
    <t>Завдання 7.2.6. Придбання квітів для нагороджених.</t>
  </si>
  <si>
    <t>кількість нагороджених та відзначених осіб</t>
  </si>
  <si>
    <t>Відхилення показника затрат: відхилення затрат утворилось за рахунок придбання подарунку до ювілею почесного громадянина міста Суми.</t>
  </si>
  <si>
    <t>кількість придбаних одиниць квіткової продукції</t>
  </si>
  <si>
    <t>середній розмір вартості придбання квітів</t>
  </si>
  <si>
    <t>Завдання 8: Виконання  «Міської цільової Програми захисту населення і території м.Суми від надзвичайних ситуацій техногенного та природного характеру на 2014 - 2018 роки»</t>
  </si>
  <si>
    <t>Завдання 8.1: Проведення експертної оцінки іншого майна постраждалих внаслідок вибуху 03.01.2017 року по вул.Металургів, 24 у місті Суми.</t>
  </si>
  <si>
    <t>рішення виконавчого комітету Сумської міської ради від 12.01.2017 року № 2 "Про перерозподіл видатків загального фонду міського бюджету  на 2017 рік", розрахунок до кошторису ,  річний звіт за 2017 рік</t>
  </si>
  <si>
    <t>Відхилення показника затрат утворилось за рахунок економії витрат  в сумі 168,46 грн.</t>
  </si>
  <si>
    <t>Кількість експертних організацій</t>
  </si>
  <si>
    <t>рішення Сумської 
міської ради від 25.12.2013 №2995-МР «Про міську цільову Програму захисту населення і території м.Суми від надзвичайних ситуацій техногенного та природного характеру на 2014 - 2018 роки»(зі змінами)</t>
  </si>
  <si>
    <t>Середні витрати на оплату послуг залученої експертної організації</t>
  </si>
  <si>
    <t>Відхилення показника ефективності утворилось за рахунок економії витрат в сумі 168,46 грн.</t>
  </si>
  <si>
    <t>Відхилення показника затрат: економія коштів склалась за рахунок оренди 3-х каналів протягом 9-ти місяців, та 3-х каналів, підключених за 10 днів до кінця поточного року.</t>
  </si>
  <si>
    <t>4.5</t>
  </si>
  <si>
    <t>Динаміка кількісті жителів міста, що взяли участь у голосуванні за проекти у порівянні з попереднім роком,%</t>
  </si>
  <si>
    <t>Відхилення показників якості: відхилення за рахунок меншої кількості поданих проектів, збільшення кількості жителів, які взяли участь у голосуванні.</t>
  </si>
  <si>
    <t>Кількість розкритих злочинів/участь у розкритті злочинів співробітниками поліції</t>
  </si>
  <si>
    <t>Кількість адмінпротоколів, складених співробітниками поліції за правопорушення, од.</t>
  </si>
  <si>
    <t>475/680</t>
  </si>
  <si>
    <t>431/1366</t>
  </si>
  <si>
    <t>-44/686</t>
  </si>
  <si>
    <t>кількість профілактичних заходів по профілактиці правопорушень</t>
  </si>
  <si>
    <t>Кількість профілактичних заходів, проведених членами громадських формувань на 128 од. менша від запланованої.</t>
  </si>
  <si>
    <t>рішення Сумської міської ради від 21 грудня 2016 року № 1551-МР « Про міську «Програму фінансового забезпечення відзначення на території міста державних, професійних свят, ювілейних дат та інших подій на 2017-2019 роки», розпорядження МГ</t>
  </si>
  <si>
    <t>Завдання 1: Виконання  міської комплексної програми "Правопорядок" на 2016-2018 роки"</t>
  </si>
  <si>
    <t>Завдання1.1. Профілактика правопорушень.</t>
  </si>
  <si>
    <t>Завдання 1.1.1 Створення належних умов для роботи громадських формувань правозахисного спрямування</t>
  </si>
  <si>
    <t>Завдання 1.1.2: Створення належних умов, що сприяють профілактичній роботі з мешканцями окремих районів міста</t>
  </si>
  <si>
    <t>Завдання 1.1.3:Сприяння забезпеченню належної мобільності патрульних нарядів поліції</t>
  </si>
  <si>
    <t>Завдання 2.1: Забезпечення узгодження дій органів місцевого самоврядування міського рівня щодо захисту прав та інтересів територіальних громад міст, сприяння їх соціально-економічному та культурному розвитку</t>
  </si>
  <si>
    <t>Затрат</t>
  </si>
  <si>
    <t>Відхилення показників ефективності:
З урахуванням вищенаведеного, економія обсягу витрат на утримання опорних пунктів, з розрахунку на 1 пункт охорони громадського порядку, склала суму 4156,00 грн.При запланованих поточних ремонтів в 4 пунктах охорони громадського порядку було проведено ремонти в 5 приміщеннях, в тому числі за рахунок депутатських коштів (15000,00 на ремонт каналізації  в ПОГП за адресою вул.Залівна, 15,) що дало економію коштів середнього ремонту 1 приміщення в сумі 20044,00 грн.</t>
  </si>
  <si>
    <t>Відхилення показників затрат:
Утворилась економія коштів  за страхування цивільно-правової відповідальності-0,56 грн.</t>
  </si>
  <si>
    <t>Завдання 1.2: Підвищення безпеки дорожнього руху</t>
  </si>
  <si>
    <t xml:space="preserve">Завдання 2: Виконання міської "Програми економічного і соціального розвитку м.Суми на 2017 рік" </t>
  </si>
  <si>
    <t>Завдання 3.5.4. Технічне забезпечення та супровід заходів міської ради.</t>
  </si>
  <si>
    <t>Завдання 4.1.1.2. Забезпечення створення промоційних аудіо та відео матеріалів та їх трансляція.</t>
  </si>
  <si>
    <t>рішення Сумської міської ради від 21 грудня 2016 року № 1551-МР « Про міську «Програму фінансового забезпечення відзначення на території міста державних, професійних свят, ювілейних дат та інших подій на 2017-2019 роки», розрахунок до кошторису</t>
  </si>
  <si>
    <t>Відхилення показників продукту: за рахунок збільшення кількості нагороджених осіб.</t>
  </si>
  <si>
    <t>Відхилення показників затрат:
Утворилась економія коштів в сумі 58175,54 грн. в тому числі: економія при проведенні поточних ремонтів в сумі 7,19 грн.;по сплаті за теплопостачання у сумі 39715,75 грн;економія по оплаті за енергопостачання  на суму 17651,74 грн; економія по сплаті за водопостачання - 213,70 грн, за газопостачання-385,26 грн.; економія по сплате за послуги зв'язку-201,56 грн.;економія по сплате за послуги утилізації відходів в сумі 0,40 грн.</t>
  </si>
  <si>
    <t>Відхилення показника : відхилення середніх  витрат утворилось за рахунок того, що  економія  по  створенню поліграфічної та фоторекламної продукції склала суму 14590,00 грн.,  економія по створенню відео та аудіопродукції в сумі 3800,00 грн.; не використані кошти на розміщення інформації на зовнішніх носіях-8890,00 грн., що  з розрахунку на 1 захід дало економію коштів в сумі 6820 грн.;пристворенні промоційної продукції економія в сумі 7,85 грн.</t>
  </si>
  <si>
    <t>Наказ Міністерства</t>
  </si>
  <si>
    <t>фінансів України</t>
  </si>
  <si>
    <t>Інформація про виконання результативних показників, що характеризують виконання бюджетної програми</t>
  </si>
  <si>
    <t xml:space="preserve">01.12.2010  N 1489 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</si>
  <si>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</si>
  <si>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</si>
  <si>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за 2017 рік</t>
  </si>
  <si>
    <t>(код програмної класифікації видатків
та кредитування бюджету)</t>
  </si>
  <si>
    <t xml:space="preserve">(назва бюджетної програми) </t>
  </si>
  <si>
    <t>Відхилення показників  продукту утворилось за рахунок підтримки 1 веб-ресурсу з жовтня поточного року.</t>
  </si>
  <si>
    <t>Відхилення показника продукту: оренда каналів здійснювалась протягом 9-ти місяців поточного року.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</si>
</sst>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00"/>
    <numFmt numFmtId="201" formatCode="0.0000000"/>
    <numFmt numFmtId="202" formatCode="0.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00000"/>
    <numFmt numFmtId="208" formatCode="#,##0.0"/>
    <numFmt numFmtId="209" formatCode="0.0%"/>
  </numFmts>
  <fonts count="64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5"/>
      <name val="Times New Roman"/>
      <family val="1"/>
    </font>
    <font>
      <b/>
      <sz val="11"/>
      <color indexed="45"/>
      <name val="Times New Roman"/>
      <family val="1"/>
    </font>
    <font>
      <b/>
      <sz val="13"/>
      <color indexed="45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45"/>
      <name val="Times New Roman"/>
      <family val="1"/>
    </font>
    <font>
      <sz val="9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8" tint="-0.24997000396251678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3"/>
      <color theme="8" tint="-0.24997000396251678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sz val="11"/>
      <color rgb="FFFF0000"/>
      <name val="Times New Roman"/>
      <family val="1"/>
    </font>
    <font>
      <sz val="10"/>
      <color rgb="FF292B2C"/>
      <name val="Times New Roman"/>
      <family val="1"/>
    </font>
    <font>
      <sz val="9"/>
      <color theme="8" tint="-0.24997000396251678"/>
      <name val="Times New Roman"/>
      <family val="1"/>
    </font>
    <font>
      <b/>
      <i/>
      <sz val="11"/>
      <color theme="8" tint="-0.24997000396251678"/>
      <name val="Times New Roman"/>
      <family val="1"/>
    </font>
    <font>
      <b/>
      <u val="single"/>
      <sz val="12"/>
      <color rgb="FF292B2C"/>
      <name val="Times New Roman"/>
      <family val="1"/>
    </font>
    <font>
      <b/>
      <sz val="12"/>
      <color rgb="FF292B2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8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15" xfId="0" applyFont="1" applyBorder="1" applyAlignment="1">
      <alignment horizontal="left" wrapText="1"/>
    </xf>
    <xf numFmtId="0" fontId="54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9" fillId="0" borderId="11" xfId="0" applyFont="1" applyFill="1" applyBorder="1" applyAlignment="1">
      <alignment/>
    </xf>
    <xf numFmtId="0" fontId="3" fillId="0" borderId="18" xfId="0" applyFont="1" applyBorder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196" fontId="53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wrapText="1"/>
    </xf>
    <xf numFmtId="0" fontId="54" fillId="0" borderId="14" xfId="0" applyFont="1" applyBorder="1" applyAlignment="1">
      <alignment horizontal="left" wrapText="1"/>
    </xf>
    <xf numFmtId="196" fontId="3" fillId="0" borderId="13" xfId="0" applyNumberFormat="1" applyFont="1" applyFill="1" applyBorder="1" applyAlignment="1">
      <alignment horizontal="center" vertical="center" wrapText="1"/>
    </xf>
    <xf numFmtId="196" fontId="3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53" fillId="0" borderId="13" xfId="0" applyFont="1" applyFill="1" applyBorder="1" applyAlignment="1">
      <alignment horizontal="justify" vertical="center" wrapText="1"/>
    </xf>
    <xf numFmtId="0" fontId="53" fillId="0" borderId="14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196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6" fillId="0" borderId="10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96" fontId="3" fillId="0" borderId="12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wrapText="1"/>
    </xf>
    <xf numFmtId="0" fontId="59" fillId="0" borderId="18" xfId="0" applyFont="1" applyBorder="1" applyAlignment="1">
      <alignment horizontal="center"/>
    </xf>
    <xf numFmtId="0" fontId="59" fillId="0" borderId="18" xfId="0" applyFont="1" applyBorder="1" applyAlignment="1">
      <alignment horizontal="center" vertical="top"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49" fontId="63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0" xfId="0" applyFont="1" applyBorder="1" applyAlignment="1">
      <alignment horizont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0"/>
  <sheetViews>
    <sheetView tabSelected="1" view="pageBreakPreview" zoomScale="85" zoomScaleNormal="85" zoomScaleSheetLayoutView="85" zoomScalePageLayoutView="0" workbookViewId="0" topLeftCell="A550">
      <selection activeCell="A115" sqref="A115:B115"/>
    </sheetView>
  </sheetViews>
  <sheetFormatPr defaultColWidth="10.33203125" defaultRowHeight="11.25"/>
  <cols>
    <col min="1" max="1" width="2.33203125" style="5" customWidth="1"/>
    <col min="2" max="2" width="3" style="5" customWidth="1"/>
    <col min="3" max="5" width="2.33203125" style="5" hidden="1" customWidth="1"/>
    <col min="6" max="6" width="4.16015625" style="5" hidden="1" customWidth="1"/>
    <col min="7" max="8" width="2.33203125" style="5" hidden="1" customWidth="1"/>
    <col min="9" max="9" width="2.33203125" style="5" customWidth="1"/>
    <col min="10" max="10" width="3.66015625" style="5" customWidth="1"/>
    <col min="11" max="16" width="2.33203125" style="5" customWidth="1"/>
    <col min="17" max="17" width="10.33203125" style="5" customWidth="1"/>
    <col min="18" max="18" width="2.33203125" style="5" customWidth="1"/>
    <col min="19" max="20" width="3" style="5" customWidth="1"/>
    <col min="21" max="22" width="2.33203125" style="5" customWidth="1"/>
    <col min="23" max="23" width="4.5" style="5" customWidth="1"/>
    <col min="24" max="24" width="2.83203125" style="5" customWidth="1"/>
    <col min="25" max="25" width="3.66015625" style="5" customWidth="1"/>
    <col min="26" max="26" width="2.33203125" style="5" customWidth="1"/>
    <col min="27" max="27" width="4.66015625" style="5" customWidth="1"/>
    <col min="28" max="28" width="2.33203125" style="5" customWidth="1"/>
    <col min="29" max="29" width="5" style="5" customWidth="1"/>
    <col min="30" max="30" width="2.16015625" style="5" customWidth="1"/>
    <col min="31" max="31" width="4.66015625" style="5" customWidth="1"/>
    <col min="32" max="32" width="5.16015625" style="5" customWidth="1"/>
    <col min="33" max="34" width="2.33203125" style="5" customWidth="1"/>
    <col min="35" max="35" width="9.5" style="5" customWidth="1"/>
    <col min="36" max="36" width="2.33203125" style="5" customWidth="1"/>
    <col min="37" max="37" width="3.66015625" style="5" customWidth="1"/>
    <col min="38" max="38" width="0.4921875" style="5" customWidth="1"/>
    <col min="39" max="39" width="4.83203125" style="5" customWidth="1"/>
    <col min="40" max="40" width="2.33203125" style="5" customWidth="1"/>
    <col min="41" max="41" width="4.16015625" style="5" customWidth="1"/>
    <col min="42" max="42" width="2.33203125" style="5" customWidth="1"/>
    <col min="43" max="43" width="4.66015625" style="5" customWidth="1"/>
    <col min="44" max="44" width="6.83203125" style="5" customWidth="1"/>
    <col min="45" max="46" width="2.33203125" style="5" customWidth="1"/>
    <col min="47" max="47" width="4.83203125" style="5" customWidth="1"/>
    <col min="48" max="49" width="2.33203125" style="5" customWidth="1"/>
    <col min="50" max="50" width="7" style="5" customWidth="1"/>
    <col min="51" max="51" width="2.5" style="5" customWidth="1"/>
    <col min="52" max="52" width="2.33203125" style="5" customWidth="1"/>
    <col min="53" max="53" width="9" style="5" customWidth="1"/>
    <col min="54" max="54" width="5.5" style="5" customWidth="1"/>
    <col min="55" max="55" width="4.83203125" style="5" customWidth="1"/>
    <col min="56" max="58" width="2.33203125" style="5" customWidth="1"/>
    <col min="59" max="59" width="4.66015625" style="5" customWidth="1"/>
    <col min="60" max="62" width="2.33203125" style="5" customWidth="1"/>
    <col min="63" max="63" width="4.83203125" style="5" customWidth="1"/>
    <col min="64" max="64" width="2.66015625" style="5" customWidth="1"/>
    <col min="65" max="65" width="3.83203125" style="5" customWidth="1"/>
    <col min="66" max="66" width="2.33203125" style="5" customWidth="1"/>
    <col min="67" max="67" width="4.83203125" style="5" customWidth="1"/>
    <col min="68" max="69" width="2.33203125" style="5" customWidth="1"/>
    <col min="70" max="70" width="21.83203125" style="5" customWidth="1"/>
    <col min="71" max="16384" width="10.33203125" style="5" customWidth="1"/>
  </cols>
  <sheetData>
    <row r="1" spans="1:256" s="1" customFormat="1" ht="13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 t="s">
        <v>33</v>
      </c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 t="s">
        <v>33</v>
      </c>
      <c r="CL1" s="24"/>
      <c r="CM1" s="24" t="s">
        <v>33</v>
      </c>
      <c r="CN1" s="24"/>
      <c r="CO1" s="24" t="s">
        <v>33</v>
      </c>
      <c r="CP1" s="24"/>
      <c r="CQ1" s="24" t="s">
        <v>33</v>
      </c>
      <c r="CR1" s="24"/>
      <c r="CS1" s="24" t="s">
        <v>33</v>
      </c>
      <c r="CT1" s="24"/>
      <c r="CU1" s="24" t="s">
        <v>33</v>
      </c>
      <c r="CV1" s="24"/>
      <c r="CW1" s="24" t="s">
        <v>33</v>
      </c>
      <c r="CX1" s="24"/>
      <c r="CY1" s="24" t="s">
        <v>33</v>
      </c>
      <c r="CZ1" s="24"/>
      <c r="DA1" s="24" t="s">
        <v>33</v>
      </c>
      <c r="DB1" s="24"/>
      <c r="DC1" s="24" t="s">
        <v>33</v>
      </c>
      <c r="DD1" s="24"/>
      <c r="DE1" s="24" t="s">
        <v>33</v>
      </c>
      <c r="DF1" s="24"/>
      <c r="DG1" s="24" t="s">
        <v>33</v>
      </c>
      <c r="DH1" s="24"/>
      <c r="DI1" s="24" t="s">
        <v>33</v>
      </c>
      <c r="DJ1" s="24"/>
      <c r="DK1" s="24" t="s">
        <v>33</v>
      </c>
      <c r="DL1" s="24"/>
      <c r="DM1" s="24" t="s">
        <v>33</v>
      </c>
      <c r="DN1" s="24"/>
      <c r="DO1" s="24" t="s">
        <v>33</v>
      </c>
      <c r="DP1" s="24"/>
      <c r="DQ1" s="24" t="s">
        <v>33</v>
      </c>
      <c r="DR1" s="24"/>
      <c r="DS1" s="24" t="s">
        <v>33</v>
      </c>
      <c r="DT1" s="24"/>
      <c r="DU1" s="24" t="s">
        <v>33</v>
      </c>
      <c r="DV1" s="24"/>
      <c r="DW1" s="24" t="s">
        <v>33</v>
      </c>
      <c r="DX1" s="24"/>
      <c r="DY1" s="24" t="s">
        <v>33</v>
      </c>
      <c r="DZ1" s="24"/>
      <c r="EA1" s="24" t="s">
        <v>33</v>
      </c>
      <c r="EB1" s="24"/>
      <c r="EC1" s="24" t="s">
        <v>33</v>
      </c>
      <c r="ED1" s="24"/>
      <c r="EE1" s="24" t="s">
        <v>33</v>
      </c>
      <c r="EF1" s="24"/>
      <c r="EG1" s="24" t="s">
        <v>33</v>
      </c>
      <c r="EH1" s="24"/>
      <c r="EI1" s="24" t="s">
        <v>33</v>
      </c>
      <c r="EJ1" s="24"/>
      <c r="EK1" s="24" t="s">
        <v>33</v>
      </c>
      <c r="EL1" s="24"/>
      <c r="EM1" s="24" t="s">
        <v>33</v>
      </c>
      <c r="EN1" s="24"/>
      <c r="EO1" s="24" t="s">
        <v>33</v>
      </c>
      <c r="EP1" s="24"/>
      <c r="EQ1" s="24" t="s">
        <v>33</v>
      </c>
      <c r="ER1" s="24"/>
      <c r="ES1" s="24" t="s">
        <v>33</v>
      </c>
      <c r="ET1" s="24"/>
      <c r="EU1" s="24" t="s">
        <v>33</v>
      </c>
      <c r="EV1" s="24"/>
      <c r="EW1" s="24" t="s">
        <v>33</v>
      </c>
      <c r="EX1" s="24"/>
      <c r="EY1" s="24" t="s">
        <v>33</v>
      </c>
      <c r="EZ1" s="24"/>
      <c r="FA1" s="24" t="s">
        <v>33</v>
      </c>
      <c r="FB1" s="24"/>
      <c r="FC1" s="24" t="s">
        <v>33</v>
      </c>
      <c r="FD1" s="24"/>
      <c r="FE1" s="24" t="s">
        <v>33</v>
      </c>
      <c r="FF1" s="24"/>
      <c r="FG1" s="24" t="s">
        <v>33</v>
      </c>
      <c r="FH1" s="24"/>
      <c r="FI1" s="24" t="s">
        <v>33</v>
      </c>
      <c r="FJ1" s="24"/>
      <c r="FK1" s="24" t="s">
        <v>33</v>
      </c>
      <c r="FL1" s="24"/>
      <c r="FM1" s="24" t="s">
        <v>33</v>
      </c>
      <c r="FN1" s="24"/>
      <c r="FO1" s="24" t="s">
        <v>33</v>
      </c>
      <c r="FP1" s="24"/>
      <c r="FQ1" s="24" t="s">
        <v>33</v>
      </c>
      <c r="FR1" s="24"/>
      <c r="FS1" s="24" t="s">
        <v>33</v>
      </c>
      <c r="FT1" s="24"/>
      <c r="FU1" s="24" t="s">
        <v>33</v>
      </c>
      <c r="FV1" s="24"/>
      <c r="FW1" s="24" t="s">
        <v>33</v>
      </c>
      <c r="FX1" s="24"/>
      <c r="FY1" s="24" t="s">
        <v>33</v>
      </c>
      <c r="FZ1" s="24"/>
      <c r="GA1" s="24" t="s">
        <v>33</v>
      </c>
      <c r="GB1" s="24"/>
      <c r="GC1" s="24" t="s">
        <v>33</v>
      </c>
      <c r="GD1" s="24"/>
      <c r="GE1" s="24" t="s">
        <v>33</v>
      </c>
      <c r="GF1" s="24"/>
      <c r="GG1" s="24" t="s">
        <v>33</v>
      </c>
      <c r="GH1" s="24"/>
      <c r="GI1" s="24" t="s">
        <v>33</v>
      </c>
      <c r="GJ1" s="24"/>
      <c r="GK1" s="24" t="s">
        <v>33</v>
      </c>
      <c r="GL1" s="24"/>
      <c r="GM1" s="24" t="s">
        <v>33</v>
      </c>
      <c r="GN1" s="24"/>
      <c r="GO1" s="24" t="s">
        <v>33</v>
      </c>
      <c r="GP1" s="24"/>
      <c r="GQ1" s="24" t="s">
        <v>33</v>
      </c>
      <c r="GR1" s="24"/>
      <c r="GS1" s="24" t="s">
        <v>33</v>
      </c>
      <c r="GT1" s="24"/>
      <c r="GU1" s="24" t="s">
        <v>33</v>
      </c>
      <c r="GV1" s="24"/>
      <c r="GW1" s="24" t="s">
        <v>33</v>
      </c>
      <c r="GX1" s="24"/>
      <c r="GY1" s="24" t="s">
        <v>33</v>
      </c>
      <c r="GZ1" s="24"/>
      <c r="HA1" s="24" t="s">
        <v>33</v>
      </c>
      <c r="HB1" s="24"/>
      <c r="HC1" s="24" t="s">
        <v>33</v>
      </c>
      <c r="HD1" s="24"/>
      <c r="HE1" s="24" t="s">
        <v>33</v>
      </c>
      <c r="HF1" s="24"/>
      <c r="HG1" s="24" t="s">
        <v>33</v>
      </c>
      <c r="HH1" s="24"/>
      <c r="HI1" s="24" t="s">
        <v>33</v>
      </c>
      <c r="HJ1" s="24"/>
      <c r="HK1" s="24" t="s">
        <v>33</v>
      </c>
      <c r="HL1" s="24"/>
      <c r="HM1" s="24" t="s">
        <v>33</v>
      </c>
      <c r="HN1" s="24"/>
      <c r="HO1" s="24" t="s">
        <v>33</v>
      </c>
      <c r="HP1" s="24"/>
      <c r="HQ1" s="24" t="s">
        <v>33</v>
      </c>
      <c r="HR1" s="24"/>
      <c r="HS1" s="24" t="s">
        <v>33</v>
      </c>
      <c r="HT1" s="24"/>
      <c r="HU1" s="24" t="s">
        <v>33</v>
      </c>
      <c r="HV1" s="24"/>
      <c r="HW1" s="24" t="s">
        <v>33</v>
      </c>
      <c r="HX1" s="24"/>
      <c r="HY1" s="24" t="s">
        <v>33</v>
      </c>
      <c r="HZ1" s="24"/>
      <c r="IA1" s="24" t="s">
        <v>33</v>
      </c>
      <c r="IB1" s="24"/>
      <c r="IC1" s="24" t="s">
        <v>33</v>
      </c>
      <c r="ID1" s="24"/>
      <c r="IE1" s="24" t="s">
        <v>33</v>
      </c>
      <c r="IF1" s="24"/>
      <c r="IG1" s="24" t="s">
        <v>33</v>
      </c>
      <c r="IH1" s="24"/>
      <c r="II1" s="24" t="s">
        <v>33</v>
      </c>
      <c r="IJ1" s="24"/>
      <c r="IK1" s="24" t="s">
        <v>33</v>
      </c>
      <c r="IL1" s="24"/>
      <c r="IM1" s="24" t="s">
        <v>33</v>
      </c>
      <c r="IN1" s="24"/>
      <c r="IO1" s="24" t="s">
        <v>33</v>
      </c>
      <c r="IP1" s="24"/>
      <c r="IQ1" s="24" t="s">
        <v>33</v>
      </c>
      <c r="IR1" s="24"/>
      <c r="IS1" s="24" t="s">
        <v>33</v>
      </c>
      <c r="IT1" s="24"/>
      <c r="IU1" s="24" t="s">
        <v>33</v>
      </c>
      <c r="IV1" s="24"/>
    </row>
    <row r="2" spans="1:256" s="1" customFormat="1" ht="13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 t="s">
        <v>384</v>
      </c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 t="s">
        <v>384</v>
      </c>
      <c r="CL2" s="24"/>
      <c r="CM2" s="24" t="s">
        <v>384</v>
      </c>
      <c r="CN2" s="24"/>
      <c r="CO2" s="24" t="s">
        <v>384</v>
      </c>
      <c r="CP2" s="24"/>
      <c r="CQ2" s="24" t="s">
        <v>384</v>
      </c>
      <c r="CR2" s="24"/>
      <c r="CS2" s="24" t="s">
        <v>384</v>
      </c>
      <c r="CT2" s="24"/>
      <c r="CU2" s="24" t="s">
        <v>384</v>
      </c>
      <c r="CV2" s="24"/>
      <c r="CW2" s="24" t="s">
        <v>384</v>
      </c>
      <c r="CX2" s="24"/>
      <c r="CY2" s="24" t="s">
        <v>384</v>
      </c>
      <c r="CZ2" s="24"/>
      <c r="DA2" s="24" t="s">
        <v>384</v>
      </c>
      <c r="DB2" s="24"/>
      <c r="DC2" s="24" t="s">
        <v>384</v>
      </c>
      <c r="DD2" s="24"/>
      <c r="DE2" s="24" t="s">
        <v>384</v>
      </c>
      <c r="DF2" s="24"/>
      <c r="DG2" s="24" t="s">
        <v>384</v>
      </c>
      <c r="DH2" s="24"/>
      <c r="DI2" s="24" t="s">
        <v>384</v>
      </c>
      <c r="DJ2" s="24"/>
      <c r="DK2" s="24" t="s">
        <v>384</v>
      </c>
      <c r="DL2" s="24"/>
      <c r="DM2" s="24" t="s">
        <v>384</v>
      </c>
      <c r="DN2" s="24"/>
      <c r="DO2" s="24" t="s">
        <v>384</v>
      </c>
      <c r="DP2" s="24"/>
      <c r="DQ2" s="24" t="s">
        <v>384</v>
      </c>
      <c r="DR2" s="24"/>
      <c r="DS2" s="24" t="s">
        <v>384</v>
      </c>
      <c r="DT2" s="24"/>
      <c r="DU2" s="24" t="s">
        <v>384</v>
      </c>
      <c r="DV2" s="24"/>
      <c r="DW2" s="24" t="s">
        <v>384</v>
      </c>
      <c r="DX2" s="24"/>
      <c r="DY2" s="24" t="s">
        <v>384</v>
      </c>
      <c r="DZ2" s="24"/>
      <c r="EA2" s="24" t="s">
        <v>384</v>
      </c>
      <c r="EB2" s="24"/>
      <c r="EC2" s="24" t="s">
        <v>384</v>
      </c>
      <c r="ED2" s="24"/>
      <c r="EE2" s="24" t="s">
        <v>384</v>
      </c>
      <c r="EF2" s="24"/>
      <c r="EG2" s="24" t="s">
        <v>384</v>
      </c>
      <c r="EH2" s="24"/>
      <c r="EI2" s="24" t="s">
        <v>384</v>
      </c>
      <c r="EJ2" s="24"/>
      <c r="EK2" s="24" t="s">
        <v>384</v>
      </c>
      <c r="EL2" s="24"/>
      <c r="EM2" s="24" t="s">
        <v>384</v>
      </c>
      <c r="EN2" s="24"/>
      <c r="EO2" s="24" t="s">
        <v>384</v>
      </c>
      <c r="EP2" s="24"/>
      <c r="EQ2" s="24" t="s">
        <v>384</v>
      </c>
      <c r="ER2" s="24"/>
      <c r="ES2" s="24" t="s">
        <v>384</v>
      </c>
      <c r="ET2" s="24"/>
      <c r="EU2" s="24" t="s">
        <v>384</v>
      </c>
      <c r="EV2" s="24"/>
      <c r="EW2" s="24" t="s">
        <v>384</v>
      </c>
      <c r="EX2" s="24"/>
      <c r="EY2" s="24" t="s">
        <v>384</v>
      </c>
      <c r="EZ2" s="24"/>
      <c r="FA2" s="24" t="s">
        <v>384</v>
      </c>
      <c r="FB2" s="24"/>
      <c r="FC2" s="24" t="s">
        <v>384</v>
      </c>
      <c r="FD2" s="24"/>
      <c r="FE2" s="24" t="s">
        <v>384</v>
      </c>
      <c r="FF2" s="24"/>
      <c r="FG2" s="24" t="s">
        <v>384</v>
      </c>
      <c r="FH2" s="24"/>
      <c r="FI2" s="24" t="s">
        <v>384</v>
      </c>
      <c r="FJ2" s="24"/>
      <c r="FK2" s="24" t="s">
        <v>384</v>
      </c>
      <c r="FL2" s="24"/>
      <c r="FM2" s="24" t="s">
        <v>384</v>
      </c>
      <c r="FN2" s="24"/>
      <c r="FO2" s="24" t="s">
        <v>384</v>
      </c>
      <c r="FP2" s="24"/>
      <c r="FQ2" s="24" t="s">
        <v>384</v>
      </c>
      <c r="FR2" s="24"/>
      <c r="FS2" s="24" t="s">
        <v>384</v>
      </c>
      <c r="FT2" s="24"/>
      <c r="FU2" s="24" t="s">
        <v>384</v>
      </c>
      <c r="FV2" s="24"/>
      <c r="FW2" s="24" t="s">
        <v>384</v>
      </c>
      <c r="FX2" s="24"/>
      <c r="FY2" s="24" t="s">
        <v>384</v>
      </c>
      <c r="FZ2" s="24"/>
      <c r="GA2" s="24" t="s">
        <v>384</v>
      </c>
      <c r="GB2" s="24"/>
      <c r="GC2" s="24" t="s">
        <v>384</v>
      </c>
      <c r="GD2" s="24"/>
      <c r="GE2" s="24" t="s">
        <v>384</v>
      </c>
      <c r="GF2" s="24"/>
      <c r="GG2" s="24" t="s">
        <v>384</v>
      </c>
      <c r="GH2" s="24"/>
      <c r="GI2" s="24" t="s">
        <v>384</v>
      </c>
      <c r="GJ2" s="24"/>
      <c r="GK2" s="24" t="s">
        <v>384</v>
      </c>
      <c r="GL2" s="24"/>
      <c r="GM2" s="24" t="s">
        <v>384</v>
      </c>
      <c r="GN2" s="24"/>
      <c r="GO2" s="24" t="s">
        <v>384</v>
      </c>
      <c r="GP2" s="24"/>
      <c r="GQ2" s="24" t="s">
        <v>384</v>
      </c>
      <c r="GR2" s="24"/>
      <c r="GS2" s="24" t="s">
        <v>384</v>
      </c>
      <c r="GT2" s="24"/>
      <c r="GU2" s="24" t="s">
        <v>384</v>
      </c>
      <c r="GV2" s="24"/>
      <c r="GW2" s="24" t="s">
        <v>384</v>
      </c>
      <c r="GX2" s="24"/>
      <c r="GY2" s="24" t="s">
        <v>384</v>
      </c>
      <c r="GZ2" s="24"/>
      <c r="HA2" s="24" t="s">
        <v>384</v>
      </c>
      <c r="HB2" s="24"/>
      <c r="HC2" s="24" t="s">
        <v>384</v>
      </c>
      <c r="HD2" s="24"/>
      <c r="HE2" s="24" t="s">
        <v>384</v>
      </c>
      <c r="HF2" s="24"/>
      <c r="HG2" s="24" t="s">
        <v>384</v>
      </c>
      <c r="HH2" s="24"/>
      <c r="HI2" s="24" t="s">
        <v>384</v>
      </c>
      <c r="HJ2" s="24"/>
      <c r="HK2" s="24" t="s">
        <v>384</v>
      </c>
      <c r="HL2" s="24"/>
      <c r="HM2" s="24" t="s">
        <v>384</v>
      </c>
      <c r="HN2" s="24"/>
      <c r="HO2" s="24" t="s">
        <v>384</v>
      </c>
      <c r="HP2" s="24"/>
      <c r="HQ2" s="24" t="s">
        <v>384</v>
      </c>
      <c r="HR2" s="24"/>
      <c r="HS2" s="24" t="s">
        <v>384</v>
      </c>
      <c r="HT2" s="24"/>
      <c r="HU2" s="24" t="s">
        <v>384</v>
      </c>
      <c r="HV2" s="24"/>
      <c r="HW2" s="24" t="s">
        <v>384</v>
      </c>
      <c r="HX2" s="24"/>
      <c r="HY2" s="24" t="s">
        <v>384</v>
      </c>
      <c r="HZ2" s="24"/>
      <c r="IA2" s="24" t="s">
        <v>384</v>
      </c>
      <c r="IB2" s="24"/>
      <c r="IC2" s="24" t="s">
        <v>384</v>
      </c>
      <c r="ID2" s="24"/>
      <c r="IE2" s="24" t="s">
        <v>384</v>
      </c>
      <c r="IF2" s="24"/>
      <c r="IG2" s="24" t="s">
        <v>384</v>
      </c>
      <c r="IH2" s="24"/>
      <c r="II2" s="24" t="s">
        <v>384</v>
      </c>
      <c r="IJ2" s="24"/>
      <c r="IK2" s="24" t="s">
        <v>384</v>
      </c>
      <c r="IL2" s="24"/>
      <c r="IM2" s="24" t="s">
        <v>384</v>
      </c>
      <c r="IN2" s="24"/>
      <c r="IO2" s="24" t="s">
        <v>384</v>
      </c>
      <c r="IP2" s="24"/>
      <c r="IQ2" s="24" t="s">
        <v>384</v>
      </c>
      <c r="IR2" s="24"/>
      <c r="IS2" s="24" t="s">
        <v>384</v>
      </c>
      <c r="IT2" s="24"/>
      <c r="IU2" s="24" t="s">
        <v>384</v>
      </c>
      <c r="IV2" s="24"/>
    </row>
    <row r="3" spans="1:256" s="1" customFormat="1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 t="s">
        <v>385</v>
      </c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 t="s">
        <v>385</v>
      </c>
      <c r="CL3" s="24"/>
      <c r="CM3" s="24" t="s">
        <v>385</v>
      </c>
      <c r="CN3" s="24"/>
      <c r="CO3" s="24" t="s">
        <v>385</v>
      </c>
      <c r="CP3" s="24"/>
      <c r="CQ3" s="24" t="s">
        <v>385</v>
      </c>
      <c r="CR3" s="24"/>
      <c r="CS3" s="24" t="s">
        <v>385</v>
      </c>
      <c r="CT3" s="24"/>
      <c r="CU3" s="24" t="s">
        <v>385</v>
      </c>
      <c r="CV3" s="24"/>
      <c r="CW3" s="24" t="s">
        <v>385</v>
      </c>
      <c r="CX3" s="24"/>
      <c r="CY3" s="24" t="s">
        <v>385</v>
      </c>
      <c r="CZ3" s="24"/>
      <c r="DA3" s="24" t="s">
        <v>385</v>
      </c>
      <c r="DB3" s="24"/>
      <c r="DC3" s="24" t="s">
        <v>385</v>
      </c>
      <c r="DD3" s="24"/>
      <c r="DE3" s="24" t="s">
        <v>385</v>
      </c>
      <c r="DF3" s="24"/>
      <c r="DG3" s="24" t="s">
        <v>385</v>
      </c>
      <c r="DH3" s="24"/>
      <c r="DI3" s="24" t="s">
        <v>385</v>
      </c>
      <c r="DJ3" s="24"/>
      <c r="DK3" s="24" t="s">
        <v>385</v>
      </c>
      <c r="DL3" s="24"/>
      <c r="DM3" s="24" t="s">
        <v>385</v>
      </c>
      <c r="DN3" s="24"/>
      <c r="DO3" s="24" t="s">
        <v>385</v>
      </c>
      <c r="DP3" s="24"/>
      <c r="DQ3" s="24" t="s">
        <v>385</v>
      </c>
      <c r="DR3" s="24"/>
      <c r="DS3" s="24" t="s">
        <v>385</v>
      </c>
      <c r="DT3" s="24"/>
      <c r="DU3" s="24" t="s">
        <v>385</v>
      </c>
      <c r="DV3" s="24"/>
      <c r="DW3" s="24" t="s">
        <v>385</v>
      </c>
      <c r="DX3" s="24"/>
      <c r="DY3" s="24" t="s">
        <v>385</v>
      </c>
      <c r="DZ3" s="24"/>
      <c r="EA3" s="24" t="s">
        <v>385</v>
      </c>
      <c r="EB3" s="24"/>
      <c r="EC3" s="24" t="s">
        <v>385</v>
      </c>
      <c r="ED3" s="24"/>
      <c r="EE3" s="24" t="s">
        <v>385</v>
      </c>
      <c r="EF3" s="24"/>
      <c r="EG3" s="24" t="s">
        <v>385</v>
      </c>
      <c r="EH3" s="24"/>
      <c r="EI3" s="24" t="s">
        <v>385</v>
      </c>
      <c r="EJ3" s="24"/>
      <c r="EK3" s="24" t="s">
        <v>385</v>
      </c>
      <c r="EL3" s="24"/>
      <c r="EM3" s="24" t="s">
        <v>385</v>
      </c>
      <c r="EN3" s="24"/>
      <c r="EO3" s="24" t="s">
        <v>385</v>
      </c>
      <c r="EP3" s="24"/>
      <c r="EQ3" s="24" t="s">
        <v>385</v>
      </c>
      <c r="ER3" s="24"/>
      <c r="ES3" s="24" t="s">
        <v>385</v>
      </c>
      <c r="ET3" s="24"/>
      <c r="EU3" s="24" t="s">
        <v>385</v>
      </c>
      <c r="EV3" s="24"/>
      <c r="EW3" s="24" t="s">
        <v>385</v>
      </c>
      <c r="EX3" s="24"/>
      <c r="EY3" s="24" t="s">
        <v>385</v>
      </c>
      <c r="EZ3" s="24"/>
      <c r="FA3" s="24" t="s">
        <v>385</v>
      </c>
      <c r="FB3" s="24"/>
      <c r="FC3" s="24" t="s">
        <v>385</v>
      </c>
      <c r="FD3" s="24"/>
      <c r="FE3" s="24" t="s">
        <v>385</v>
      </c>
      <c r="FF3" s="24"/>
      <c r="FG3" s="24" t="s">
        <v>385</v>
      </c>
      <c r="FH3" s="24"/>
      <c r="FI3" s="24" t="s">
        <v>385</v>
      </c>
      <c r="FJ3" s="24"/>
      <c r="FK3" s="24" t="s">
        <v>385</v>
      </c>
      <c r="FL3" s="24"/>
      <c r="FM3" s="24" t="s">
        <v>385</v>
      </c>
      <c r="FN3" s="24"/>
      <c r="FO3" s="24" t="s">
        <v>385</v>
      </c>
      <c r="FP3" s="24"/>
      <c r="FQ3" s="24" t="s">
        <v>385</v>
      </c>
      <c r="FR3" s="24"/>
      <c r="FS3" s="24" t="s">
        <v>385</v>
      </c>
      <c r="FT3" s="24"/>
      <c r="FU3" s="24" t="s">
        <v>385</v>
      </c>
      <c r="FV3" s="24"/>
      <c r="FW3" s="24" t="s">
        <v>385</v>
      </c>
      <c r="FX3" s="24"/>
      <c r="FY3" s="24" t="s">
        <v>385</v>
      </c>
      <c r="FZ3" s="24"/>
      <c r="GA3" s="24" t="s">
        <v>385</v>
      </c>
      <c r="GB3" s="24"/>
      <c r="GC3" s="24" t="s">
        <v>385</v>
      </c>
      <c r="GD3" s="24"/>
      <c r="GE3" s="24" t="s">
        <v>385</v>
      </c>
      <c r="GF3" s="24"/>
      <c r="GG3" s="24" t="s">
        <v>385</v>
      </c>
      <c r="GH3" s="24"/>
      <c r="GI3" s="24" t="s">
        <v>385</v>
      </c>
      <c r="GJ3" s="24"/>
      <c r="GK3" s="24" t="s">
        <v>385</v>
      </c>
      <c r="GL3" s="24"/>
      <c r="GM3" s="24" t="s">
        <v>385</v>
      </c>
      <c r="GN3" s="24"/>
      <c r="GO3" s="24" t="s">
        <v>385</v>
      </c>
      <c r="GP3" s="24"/>
      <c r="GQ3" s="24" t="s">
        <v>385</v>
      </c>
      <c r="GR3" s="24"/>
      <c r="GS3" s="24" t="s">
        <v>385</v>
      </c>
      <c r="GT3" s="24"/>
      <c r="GU3" s="24" t="s">
        <v>385</v>
      </c>
      <c r="GV3" s="24"/>
      <c r="GW3" s="24" t="s">
        <v>385</v>
      </c>
      <c r="GX3" s="24"/>
      <c r="GY3" s="24" t="s">
        <v>385</v>
      </c>
      <c r="GZ3" s="24"/>
      <c r="HA3" s="24" t="s">
        <v>385</v>
      </c>
      <c r="HB3" s="24"/>
      <c r="HC3" s="24" t="s">
        <v>385</v>
      </c>
      <c r="HD3" s="24"/>
      <c r="HE3" s="24" t="s">
        <v>385</v>
      </c>
      <c r="HF3" s="24"/>
      <c r="HG3" s="24" t="s">
        <v>385</v>
      </c>
      <c r="HH3" s="24"/>
      <c r="HI3" s="24" t="s">
        <v>385</v>
      </c>
      <c r="HJ3" s="24"/>
      <c r="HK3" s="24" t="s">
        <v>385</v>
      </c>
      <c r="HL3" s="24"/>
      <c r="HM3" s="24" t="s">
        <v>385</v>
      </c>
      <c r="HN3" s="24"/>
      <c r="HO3" s="24" t="s">
        <v>385</v>
      </c>
      <c r="HP3" s="24"/>
      <c r="HQ3" s="24" t="s">
        <v>385</v>
      </c>
      <c r="HR3" s="24"/>
      <c r="HS3" s="24" t="s">
        <v>385</v>
      </c>
      <c r="HT3" s="24"/>
      <c r="HU3" s="24" t="s">
        <v>385</v>
      </c>
      <c r="HV3" s="24"/>
      <c r="HW3" s="24" t="s">
        <v>385</v>
      </c>
      <c r="HX3" s="24"/>
      <c r="HY3" s="24" t="s">
        <v>385</v>
      </c>
      <c r="HZ3" s="24"/>
      <c r="IA3" s="24" t="s">
        <v>385</v>
      </c>
      <c r="IB3" s="24"/>
      <c r="IC3" s="24" t="s">
        <v>385</v>
      </c>
      <c r="ID3" s="24"/>
      <c r="IE3" s="24" t="s">
        <v>385</v>
      </c>
      <c r="IF3" s="24"/>
      <c r="IG3" s="24" t="s">
        <v>385</v>
      </c>
      <c r="IH3" s="24"/>
      <c r="II3" s="24" t="s">
        <v>385</v>
      </c>
      <c r="IJ3" s="24"/>
      <c r="IK3" s="24" t="s">
        <v>385</v>
      </c>
      <c r="IL3" s="24"/>
      <c r="IM3" s="24" t="s">
        <v>385</v>
      </c>
      <c r="IN3" s="24"/>
      <c r="IO3" s="24" t="s">
        <v>385</v>
      </c>
      <c r="IP3" s="24"/>
      <c r="IQ3" s="24" t="s">
        <v>385</v>
      </c>
      <c r="IR3" s="24"/>
      <c r="IS3" s="24" t="s">
        <v>385</v>
      </c>
      <c r="IT3" s="24"/>
      <c r="IU3" s="24" t="s">
        <v>385</v>
      </c>
      <c r="IV3" s="24"/>
    </row>
    <row r="4" spans="1:256" s="1" customFormat="1" ht="15">
      <c r="A4" s="24"/>
      <c r="B4" s="24"/>
      <c r="C4" s="24"/>
      <c r="D4" s="24"/>
      <c r="E4" s="238" t="s">
        <v>386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4"/>
      <c r="BF4" s="24"/>
      <c r="BG4" s="24"/>
      <c r="BH4" s="24"/>
      <c r="BI4" s="24"/>
      <c r="BJ4" s="24"/>
      <c r="BK4" s="24" t="s">
        <v>387</v>
      </c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 t="s">
        <v>387</v>
      </c>
      <c r="CL4" s="24"/>
      <c r="CM4" s="24" t="s">
        <v>387</v>
      </c>
      <c r="CN4" s="24"/>
      <c r="CO4" s="24" t="s">
        <v>387</v>
      </c>
      <c r="CP4" s="24"/>
      <c r="CQ4" s="24" t="s">
        <v>387</v>
      </c>
      <c r="CR4" s="24"/>
      <c r="CS4" s="24" t="s">
        <v>387</v>
      </c>
      <c r="CT4" s="24"/>
      <c r="CU4" s="24" t="s">
        <v>387</v>
      </c>
      <c r="CV4" s="24"/>
      <c r="CW4" s="24" t="s">
        <v>387</v>
      </c>
      <c r="CX4" s="24"/>
      <c r="CY4" s="24" t="s">
        <v>387</v>
      </c>
      <c r="CZ4" s="24"/>
      <c r="DA4" s="24" t="s">
        <v>387</v>
      </c>
      <c r="DB4" s="24"/>
      <c r="DC4" s="24" t="s">
        <v>387</v>
      </c>
      <c r="DD4" s="24"/>
      <c r="DE4" s="24" t="s">
        <v>387</v>
      </c>
      <c r="DF4" s="24"/>
      <c r="DG4" s="24" t="s">
        <v>387</v>
      </c>
      <c r="DH4" s="24"/>
      <c r="DI4" s="24" t="s">
        <v>387</v>
      </c>
      <c r="DJ4" s="24"/>
      <c r="DK4" s="24" t="s">
        <v>387</v>
      </c>
      <c r="DL4" s="24"/>
      <c r="DM4" s="24" t="s">
        <v>387</v>
      </c>
      <c r="DN4" s="24"/>
      <c r="DO4" s="24" t="s">
        <v>387</v>
      </c>
      <c r="DP4" s="24"/>
      <c r="DQ4" s="24" t="s">
        <v>387</v>
      </c>
      <c r="DR4" s="24"/>
      <c r="DS4" s="24" t="s">
        <v>387</v>
      </c>
      <c r="DT4" s="24"/>
      <c r="DU4" s="24" t="s">
        <v>387</v>
      </c>
      <c r="DV4" s="24"/>
      <c r="DW4" s="24" t="s">
        <v>387</v>
      </c>
      <c r="DX4" s="24"/>
      <c r="DY4" s="24" t="s">
        <v>387</v>
      </c>
      <c r="DZ4" s="24"/>
      <c r="EA4" s="24" t="s">
        <v>387</v>
      </c>
      <c r="EB4" s="24"/>
      <c r="EC4" s="24" t="s">
        <v>387</v>
      </c>
      <c r="ED4" s="24"/>
      <c r="EE4" s="24" t="s">
        <v>387</v>
      </c>
      <c r="EF4" s="24"/>
      <c r="EG4" s="24" t="s">
        <v>387</v>
      </c>
      <c r="EH4" s="24"/>
      <c r="EI4" s="24" t="s">
        <v>387</v>
      </c>
      <c r="EJ4" s="24"/>
      <c r="EK4" s="24" t="s">
        <v>387</v>
      </c>
      <c r="EL4" s="24"/>
      <c r="EM4" s="24" t="s">
        <v>387</v>
      </c>
      <c r="EN4" s="24"/>
      <c r="EO4" s="24" t="s">
        <v>387</v>
      </c>
      <c r="EP4" s="24"/>
      <c r="EQ4" s="24" t="s">
        <v>387</v>
      </c>
      <c r="ER4" s="24"/>
      <c r="ES4" s="24" t="s">
        <v>387</v>
      </c>
      <c r="ET4" s="24"/>
      <c r="EU4" s="24" t="s">
        <v>387</v>
      </c>
      <c r="EV4" s="24"/>
      <c r="EW4" s="24" t="s">
        <v>387</v>
      </c>
      <c r="EX4" s="24"/>
      <c r="EY4" s="24" t="s">
        <v>387</v>
      </c>
      <c r="EZ4" s="24"/>
      <c r="FA4" s="24" t="s">
        <v>387</v>
      </c>
      <c r="FB4" s="24"/>
      <c r="FC4" s="24" t="s">
        <v>387</v>
      </c>
      <c r="FD4" s="24"/>
      <c r="FE4" s="24" t="s">
        <v>387</v>
      </c>
      <c r="FF4" s="24"/>
      <c r="FG4" s="24" t="s">
        <v>387</v>
      </c>
      <c r="FH4" s="24"/>
      <c r="FI4" s="24" t="s">
        <v>387</v>
      </c>
      <c r="FJ4" s="24"/>
      <c r="FK4" s="24" t="s">
        <v>387</v>
      </c>
      <c r="FL4" s="24"/>
      <c r="FM4" s="24" t="s">
        <v>387</v>
      </c>
      <c r="FN4" s="24"/>
      <c r="FO4" s="24" t="s">
        <v>387</v>
      </c>
      <c r="FP4" s="24"/>
      <c r="FQ4" s="24" t="s">
        <v>387</v>
      </c>
      <c r="FR4" s="24"/>
      <c r="FS4" s="24" t="s">
        <v>387</v>
      </c>
      <c r="FT4" s="24"/>
      <c r="FU4" s="24" t="s">
        <v>387</v>
      </c>
      <c r="FV4" s="24"/>
      <c r="FW4" s="24" t="s">
        <v>387</v>
      </c>
      <c r="FX4" s="24"/>
      <c r="FY4" s="24" t="s">
        <v>387</v>
      </c>
      <c r="FZ4" s="24"/>
      <c r="GA4" s="24" t="s">
        <v>387</v>
      </c>
      <c r="GB4" s="24"/>
      <c r="GC4" s="24" t="s">
        <v>387</v>
      </c>
      <c r="GD4" s="24"/>
      <c r="GE4" s="24" t="s">
        <v>387</v>
      </c>
      <c r="GF4" s="24"/>
      <c r="GG4" s="24" t="s">
        <v>387</v>
      </c>
      <c r="GH4" s="24"/>
      <c r="GI4" s="24" t="s">
        <v>387</v>
      </c>
      <c r="GJ4" s="24"/>
      <c r="GK4" s="24" t="s">
        <v>387</v>
      </c>
      <c r="GL4" s="24"/>
      <c r="GM4" s="24" t="s">
        <v>387</v>
      </c>
      <c r="GN4" s="24"/>
      <c r="GO4" s="24" t="s">
        <v>387</v>
      </c>
      <c r="GP4" s="24"/>
      <c r="GQ4" s="24" t="s">
        <v>387</v>
      </c>
      <c r="GR4" s="24"/>
      <c r="GS4" s="24" t="s">
        <v>387</v>
      </c>
      <c r="GT4" s="24"/>
      <c r="GU4" s="24" t="s">
        <v>387</v>
      </c>
      <c r="GV4" s="24"/>
      <c r="GW4" s="24" t="s">
        <v>387</v>
      </c>
      <c r="GX4" s="24"/>
      <c r="GY4" s="24" t="s">
        <v>387</v>
      </c>
      <c r="GZ4" s="24"/>
      <c r="HA4" s="24" t="s">
        <v>387</v>
      </c>
      <c r="HB4" s="24"/>
      <c r="HC4" s="24" t="s">
        <v>387</v>
      </c>
      <c r="HD4" s="24"/>
      <c r="HE4" s="24" t="s">
        <v>387</v>
      </c>
      <c r="HF4" s="24"/>
      <c r="HG4" s="24" t="s">
        <v>387</v>
      </c>
      <c r="HH4" s="24"/>
      <c r="HI4" s="24" t="s">
        <v>387</v>
      </c>
      <c r="HJ4" s="24"/>
      <c r="HK4" s="24" t="s">
        <v>387</v>
      </c>
      <c r="HL4" s="24"/>
      <c r="HM4" s="24" t="s">
        <v>387</v>
      </c>
      <c r="HN4" s="24"/>
      <c r="HO4" s="24" t="s">
        <v>387</v>
      </c>
      <c r="HP4" s="24"/>
      <c r="HQ4" s="24" t="s">
        <v>387</v>
      </c>
      <c r="HR4" s="24"/>
      <c r="HS4" s="24" t="s">
        <v>387</v>
      </c>
      <c r="HT4" s="24"/>
      <c r="HU4" s="24" t="s">
        <v>387</v>
      </c>
      <c r="HV4" s="24"/>
      <c r="HW4" s="24" t="s">
        <v>387</v>
      </c>
      <c r="HX4" s="24"/>
      <c r="HY4" s="24" t="s">
        <v>387</v>
      </c>
      <c r="HZ4" s="24"/>
      <c r="IA4" s="24" t="s">
        <v>387</v>
      </c>
      <c r="IB4" s="24"/>
      <c r="IC4" s="24" t="s">
        <v>387</v>
      </c>
      <c r="ID4" s="24"/>
      <c r="IE4" s="24" t="s">
        <v>387</v>
      </c>
      <c r="IF4" s="24"/>
      <c r="IG4" s="24" t="s">
        <v>387</v>
      </c>
      <c r="IH4" s="24"/>
      <c r="II4" s="24" t="s">
        <v>387</v>
      </c>
      <c r="IJ4" s="24"/>
      <c r="IK4" s="24" t="s">
        <v>387</v>
      </c>
      <c r="IL4" s="24"/>
      <c r="IM4" s="24" t="s">
        <v>387</v>
      </c>
      <c r="IN4" s="24"/>
      <c r="IO4" s="24" t="s">
        <v>387</v>
      </c>
      <c r="IP4" s="24"/>
      <c r="IQ4" s="24" t="s">
        <v>387</v>
      </c>
      <c r="IR4" s="24"/>
      <c r="IS4" s="24" t="s">
        <v>387</v>
      </c>
      <c r="IT4" s="24"/>
      <c r="IU4" s="24" t="s">
        <v>387</v>
      </c>
      <c r="IV4" s="24"/>
    </row>
    <row r="5" spans="1:256" s="1" customFormat="1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1" customFormat="1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38" t="s">
        <v>388</v>
      </c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1" customFormat="1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39" t="s">
        <v>389</v>
      </c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1" customFormat="1" ht="26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5"/>
      <c r="AD8" s="25"/>
      <c r="AE8" s="25"/>
      <c r="AF8" s="242" t="s">
        <v>390</v>
      </c>
      <c r="AG8" s="242"/>
      <c r="AH8" s="242"/>
      <c r="AI8" s="242"/>
      <c r="AJ8" s="242"/>
      <c r="AK8" s="242"/>
      <c r="AL8" s="25"/>
      <c r="AM8" s="25"/>
      <c r="AN8" s="25"/>
      <c r="AO8" s="25"/>
      <c r="AP8" s="25"/>
      <c r="AQ8" s="25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1" customFormat="1" ht="28.5" customHeight="1">
      <c r="A9" s="24"/>
      <c r="B9" s="26"/>
      <c r="C9" s="26"/>
      <c r="D9" s="26"/>
      <c r="E9" s="26"/>
      <c r="F9" s="26"/>
      <c r="G9" s="26"/>
      <c r="H9" s="26"/>
      <c r="I9" s="26"/>
      <c r="J9" s="240" t="s">
        <v>53</v>
      </c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6"/>
      <c r="X9" s="26"/>
      <c r="Y9" s="27"/>
      <c r="Z9" s="27"/>
      <c r="AA9" s="27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41" t="s">
        <v>54</v>
      </c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1" customFormat="1" ht="26.25" customHeight="1">
      <c r="A10" s="24"/>
      <c r="B10" s="24"/>
      <c r="C10" s="24"/>
      <c r="D10" s="235" t="s">
        <v>391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37" t="s">
        <v>392</v>
      </c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70" ht="34.5" customHeight="1">
      <c r="A11" s="122" t="s">
        <v>24</v>
      </c>
      <c r="B11" s="124"/>
      <c r="C11" s="122" t="s">
        <v>36</v>
      </c>
      <c r="D11" s="123"/>
      <c r="E11" s="123"/>
      <c r="F11" s="123"/>
      <c r="G11" s="123"/>
      <c r="H11" s="124"/>
      <c r="I11" s="121" t="s">
        <v>25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3" t="s">
        <v>17</v>
      </c>
      <c r="Y11" s="123"/>
      <c r="Z11" s="124"/>
      <c r="AA11" s="122" t="s">
        <v>26</v>
      </c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4"/>
      <c r="AM11" s="121" t="s">
        <v>34</v>
      </c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 t="s">
        <v>37</v>
      </c>
      <c r="AY11" s="121"/>
      <c r="AZ11" s="121"/>
      <c r="BA11" s="121"/>
      <c r="BB11" s="121"/>
      <c r="BC11" s="121"/>
      <c r="BD11" s="121"/>
      <c r="BE11" s="121"/>
      <c r="BF11" s="121"/>
      <c r="BG11" s="121"/>
      <c r="BH11" s="121" t="s">
        <v>35</v>
      </c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</row>
    <row r="12" spans="1:70" ht="15" customHeight="1">
      <c r="A12" s="149"/>
      <c r="B12" s="150"/>
      <c r="C12" s="125"/>
      <c r="D12" s="126"/>
      <c r="E12" s="126"/>
      <c r="F12" s="126"/>
      <c r="G12" s="126"/>
      <c r="H12" s="127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6"/>
      <c r="Y12" s="126"/>
      <c r="Z12" s="127"/>
      <c r="AA12" s="125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7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</row>
    <row r="13" spans="1:70" s="6" customFormat="1" ht="22.5" customHeight="1">
      <c r="A13" s="151">
        <v>1</v>
      </c>
      <c r="B13" s="152"/>
      <c r="C13" s="151">
        <v>2</v>
      </c>
      <c r="D13" s="153"/>
      <c r="E13" s="153"/>
      <c r="F13" s="153"/>
      <c r="G13" s="153"/>
      <c r="H13" s="152"/>
      <c r="I13" s="121">
        <v>3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>
        <v>4</v>
      </c>
      <c r="Y13" s="121"/>
      <c r="Z13" s="121"/>
      <c r="AA13" s="121">
        <v>5</v>
      </c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53">
        <v>6</v>
      </c>
      <c r="AN13" s="153"/>
      <c r="AO13" s="153"/>
      <c r="AP13" s="153"/>
      <c r="AQ13" s="153"/>
      <c r="AR13" s="153"/>
      <c r="AS13" s="153"/>
      <c r="AT13" s="153"/>
      <c r="AU13" s="153"/>
      <c r="AV13" s="153"/>
      <c r="AW13" s="152"/>
      <c r="AX13" s="121">
        <v>7</v>
      </c>
      <c r="AY13" s="121"/>
      <c r="AZ13" s="121"/>
      <c r="BA13" s="121"/>
      <c r="BB13" s="121"/>
      <c r="BC13" s="121"/>
      <c r="BD13" s="121"/>
      <c r="BE13" s="121"/>
      <c r="BF13" s="121"/>
      <c r="BG13" s="121"/>
      <c r="BH13" s="121">
        <v>8</v>
      </c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</row>
    <row r="14" spans="1:70" s="2" customFormat="1" ht="24" customHeight="1">
      <c r="A14" s="65"/>
      <c r="B14" s="66"/>
      <c r="C14" s="42" t="s">
        <v>93</v>
      </c>
      <c r="D14" s="42"/>
      <c r="E14" s="42"/>
      <c r="F14" s="42"/>
      <c r="G14" s="42"/>
      <c r="H14" s="42"/>
      <c r="I14" s="217" t="s">
        <v>367</v>
      </c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</row>
    <row r="15" spans="1:70" s="2" customFormat="1" ht="16.5" customHeight="1">
      <c r="A15" s="65"/>
      <c r="B15" s="66"/>
      <c r="C15" s="42"/>
      <c r="D15" s="42"/>
      <c r="E15" s="42"/>
      <c r="F15" s="42"/>
      <c r="G15" s="42"/>
      <c r="H15" s="42"/>
      <c r="I15" s="140" t="s">
        <v>368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</row>
    <row r="16" spans="1:70" s="2" customFormat="1" ht="16.5" customHeight="1">
      <c r="A16" s="65"/>
      <c r="B16" s="66"/>
      <c r="C16" s="42"/>
      <c r="D16" s="42"/>
      <c r="E16" s="42"/>
      <c r="F16" s="42"/>
      <c r="G16" s="42"/>
      <c r="H16" s="42"/>
      <c r="I16" s="140" t="s">
        <v>369</v>
      </c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</row>
    <row r="17" spans="1:70" s="1" customFormat="1" ht="16.5" customHeight="1">
      <c r="A17" s="32">
        <v>1</v>
      </c>
      <c r="B17" s="32"/>
      <c r="C17" s="33"/>
      <c r="D17" s="34"/>
      <c r="E17" s="34"/>
      <c r="F17" s="34"/>
      <c r="G17" s="34"/>
      <c r="H17" s="35"/>
      <c r="I17" s="44" t="s">
        <v>50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0" s="1" customFormat="1" ht="25.5" customHeight="1">
      <c r="A18" s="40" t="s">
        <v>44</v>
      </c>
      <c r="B18" s="41"/>
      <c r="C18" s="42"/>
      <c r="D18" s="42"/>
      <c r="E18" s="42"/>
      <c r="F18" s="42"/>
      <c r="G18" s="42"/>
      <c r="H18" s="42"/>
      <c r="I18" s="28" t="s">
        <v>75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  <c r="X18" s="43" t="s">
        <v>32</v>
      </c>
      <c r="Y18" s="43"/>
      <c r="Z18" s="43"/>
      <c r="AA18" s="39" t="s">
        <v>94</v>
      </c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7">
        <v>80000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8"/>
      <c r="AX18" s="31">
        <f>80000-11.68</f>
        <v>79988.32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>
        <f>AX18-AM18</f>
        <v>-11.679999999993015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</row>
    <row r="19" spans="1:70" s="1" customFormat="1" ht="37.5" customHeight="1">
      <c r="A19" s="40" t="s">
        <v>45</v>
      </c>
      <c r="B19" s="41"/>
      <c r="C19" s="42"/>
      <c r="D19" s="42"/>
      <c r="E19" s="42"/>
      <c r="F19" s="42"/>
      <c r="G19" s="42"/>
      <c r="H19" s="42"/>
      <c r="I19" s="28" t="s">
        <v>64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43" t="s">
        <v>27</v>
      </c>
      <c r="Y19" s="43"/>
      <c r="Z19" s="43"/>
      <c r="AA19" s="49" t="s">
        <v>95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1"/>
      <c r="AM19" s="37">
        <v>2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8"/>
      <c r="AX19" s="31">
        <v>2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>
        <v>0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</row>
    <row r="20" spans="1:70" s="2" customFormat="1" ht="30.75" customHeight="1">
      <c r="A20" s="40" t="s">
        <v>52</v>
      </c>
      <c r="B20" s="41"/>
      <c r="C20" s="42"/>
      <c r="D20" s="42"/>
      <c r="E20" s="42"/>
      <c r="F20" s="42"/>
      <c r="G20" s="42"/>
      <c r="H20" s="42"/>
      <c r="I20" s="28" t="s">
        <v>65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43" t="s">
        <v>27</v>
      </c>
      <c r="Y20" s="43"/>
      <c r="Z20" s="43"/>
      <c r="AA20" s="52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4"/>
      <c r="AM20" s="37">
        <v>136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31">
        <f>13+31</f>
        <v>44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>
        <f>AX20-AM20</f>
        <v>-92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s="2" customFormat="1" ht="30" customHeight="1">
      <c r="A21" s="32"/>
      <c r="B21" s="32"/>
      <c r="C21" s="33"/>
      <c r="D21" s="34"/>
      <c r="E21" s="34"/>
      <c r="F21" s="34"/>
      <c r="G21" s="34"/>
      <c r="H21" s="35"/>
      <c r="I21" s="36" t="s">
        <v>98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  <row r="22" spans="1:70" s="1" customFormat="1" ht="15" customHeight="1">
      <c r="A22" s="32">
        <v>2</v>
      </c>
      <c r="B22" s="32"/>
      <c r="C22" s="92"/>
      <c r="D22" s="92"/>
      <c r="E22" s="92"/>
      <c r="F22" s="92"/>
      <c r="G22" s="92"/>
      <c r="H22" s="92"/>
      <c r="I22" s="44" t="s">
        <v>40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</row>
    <row r="23" spans="1:70" s="2" customFormat="1" ht="57" customHeight="1">
      <c r="A23" s="40" t="s">
        <v>14</v>
      </c>
      <c r="B23" s="41"/>
      <c r="C23" s="42"/>
      <c r="D23" s="42"/>
      <c r="E23" s="42"/>
      <c r="F23" s="42"/>
      <c r="G23" s="42"/>
      <c r="H23" s="42"/>
      <c r="I23" s="28" t="s">
        <v>364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43" t="s">
        <v>27</v>
      </c>
      <c r="Y23" s="43"/>
      <c r="Z23" s="43"/>
      <c r="AA23" s="39" t="s">
        <v>95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7">
        <v>145</v>
      </c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31">
        <v>17</v>
      </c>
      <c r="AY23" s="31"/>
      <c r="AZ23" s="31"/>
      <c r="BA23" s="31"/>
      <c r="BB23" s="31"/>
      <c r="BC23" s="31"/>
      <c r="BD23" s="31"/>
      <c r="BE23" s="31"/>
      <c r="BF23" s="31"/>
      <c r="BG23" s="31"/>
      <c r="BH23" s="31">
        <f>AX23-AM23</f>
        <v>-128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</row>
    <row r="24" spans="1:70" s="2" customFormat="1" ht="16.5" customHeight="1">
      <c r="A24" s="32"/>
      <c r="B24" s="32"/>
      <c r="C24" s="33"/>
      <c r="D24" s="34"/>
      <c r="E24" s="34"/>
      <c r="F24" s="34"/>
      <c r="G24" s="34"/>
      <c r="H24" s="35"/>
      <c r="I24" s="215" t="s">
        <v>365</v>
      </c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</row>
    <row r="25" spans="1:70" s="1" customFormat="1" ht="14.25" customHeight="1">
      <c r="A25" s="32">
        <v>3</v>
      </c>
      <c r="B25" s="32"/>
      <c r="C25" s="33"/>
      <c r="D25" s="34"/>
      <c r="E25" s="34"/>
      <c r="F25" s="34"/>
      <c r="G25" s="34"/>
      <c r="H25" s="35"/>
      <c r="I25" s="95" t="s">
        <v>41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</row>
    <row r="26" spans="1:70" s="2" customFormat="1" ht="51.75" customHeight="1">
      <c r="A26" s="40" t="s">
        <v>47</v>
      </c>
      <c r="B26" s="41"/>
      <c r="C26" s="42"/>
      <c r="D26" s="42"/>
      <c r="E26" s="42"/>
      <c r="F26" s="42"/>
      <c r="G26" s="42"/>
      <c r="H26" s="42"/>
      <c r="I26" s="156" t="s">
        <v>83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44" t="s">
        <v>32</v>
      </c>
      <c r="Y26" s="144"/>
      <c r="Z26" s="144"/>
      <c r="AA26" s="145" t="s">
        <v>43</v>
      </c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16">
        <f>AM18/AM19</f>
        <v>40000</v>
      </c>
      <c r="AN26" s="116"/>
      <c r="AO26" s="116"/>
      <c r="AP26" s="116"/>
      <c r="AQ26" s="116"/>
      <c r="AR26" s="116"/>
      <c r="AS26" s="116"/>
      <c r="AT26" s="116"/>
      <c r="AU26" s="116"/>
      <c r="AV26" s="116"/>
      <c r="AW26" s="117"/>
      <c r="AX26" s="115">
        <f>AX18/AX19</f>
        <v>39994.16</v>
      </c>
      <c r="AY26" s="115"/>
      <c r="AZ26" s="115"/>
      <c r="BA26" s="115"/>
      <c r="BB26" s="115"/>
      <c r="BC26" s="115"/>
      <c r="BD26" s="115"/>
      <c r="BE26" s="115"/>
      <c r="BF26" s="115"/>
      <c r="BG26" s="115"/>
      <c r="BH26" s="31">
        <f>AX26-AM26</f>
        <v>-5.8399999999965075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</row>
    <row r="27" spans="1:70" s="2" customFormat="1" ht="16.5" customHeight="1">
      <c r="A27" s="65"/>
      <c r="B27" s="66"/>
      <c r="C27" s="42"/>
      <c r="D27" s="42"/>
      <c r="E27" s="42"/>
      <c r="F27" s="42"/>
      <c r="G27" s="42"/>
      <c r="H27" s="42"/>
      <c r="I27" s="56" t="s">
        <v>370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</row>
    <row r="28" spans="1:70" s="1" customFormat="1" ht="18" customHeight="1">
      <c r="A28" s="32">
        <v>1</v>
      </c>
      <c r="B28" s="32"/>
      <c r="C28" s="33"/>
      <c r="D28" s="34"/>
      <c r="E28" s="34"/>
      <c r="F28" s="34"/>
      <c r="G28" s="34"/>
      <c r="H28" s="35"/>
      <c r="I28" s="95" t="s">
        <v>50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</row>
    <row r="29" spans="1:70" s="1" customFormat="1" ht="37.5" customHeight="1">
      <c r="A29" s="79" t="s">
        <v>44</v>
      </c>
      <c r="B29" s="80"/>
      <c r="C29" s="42"/>
      <c r="D29" s="42"/>
      <c r="E29" s="42"/>
      <c r="F29" s="42"/>
      <c r="G29" s="42"/>
      <c r="H29" s="42"/>
      <c r="I29" s="28" t="s">
        <v>4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9" t="s">
        <v>32</v>
      </c>
      <c r="Y29" s="39"/>
      <c r="Z29" s="39"/>
      <c r="AA29" s="78" t="s">
        <v>96</v>
      </c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5"/>
      <c r="AM29" s="31">
        <f>682443</f>
        <v>682443</v>
      </c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>
        <f>624267.4</f>
        <v>624267.4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>
        <f>AX29-AM29</f>
        <v>-58175.59999999998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</row>
    <row r="30" spans="1:70" s="2" customFormat="1" ht="56.25" customHeight="1">
      <c r="A30" s="32"/>
      <c r="B30" s="32"/>
      <c r="C30" s="33"/>
      <c r="D30" s="34"/>
      <c r="E30" s="34"/>
      <c r="F30" s="34"/>
      <c r="G30" s="34"/>
      <c r="H30" s="35"/>
      <c r="I30" s="36" t="s">
        <v>382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</row>
    <row r="31" spans="1:70" ht="12.75" customHeight="1">
      <c r="A31" s="58">
        <v>2</v>
      </c>
      <c r="B31" s="58"/>
      <c r="C31" s="59"/>
      <c r="D31" s="59"/>
      <c r="E31" s="59"/>
      <c r="F31" s="59"/>
      <c r="G31" s="59"/>
      <c r="H31" s="59"/>
      <c r="I31" s="60" t="s">
        <v>40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</row>
    <row r="32" spans="1:70" ht="37.5" customHeight="1">
      <c r="A32" s="47" t="s">
        <v>46</v>
      </c>
      <c r="B32" s="48"/>
      <c r="C32" s="42"/>
      <c r="D32" s="42"/>
      <c r="E32" s="42"/>
      <c r="F32" s="42"/>
      <c r="G32" s="42"/>
      <c r="H32" s="42"/>
      <c r="I32" s="28" t="s">
        <v>56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43" t="s">
        <v>27</v>
      </c>
      <c r="Y32" s="43"/>
      <c r="Z32" s="43"/>
      <c r="AA32" s="49" t="s">
        <v>95</v>
      </c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  <c r="AM32" s="37">
        <v>14</v>
      </c>
      <c r="AN32" s="37"/>
      <c r="AO32" s="37"/>
      <c r="AP32" s="37"/>
      <c r="AQ32" s="37"/>
      <c r="AR32" s="37"/>
      <c r="AS32" s="37"/>
      <c r="AT32" s="37"/>
      <c r="AU32" s="37"/>
      <c r="AV32" s="37"/>
      <c r="AW32" s="38"/>
      <c r="AX32" s="31">
        <v>14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>
        <v>0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1:70" ht="31.5" customHeight="1">
      <c r="A33" s="47" t="s">
        <v>58</v>
      </c>
      <c r="B33" s="48"/>
      <c r="C33" s="42"/>
      <c r="D33" s="42"/>
      <c r="E33" s="42"/>
      <c r="F33" s="42"/>
      <c r="G33" s="42"/>
      <c r="H33" s="42"/>
      <c r="I33" s="28" t="s">
        <v>100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43" t="s">
        <v>27</v>
      </c>
      <c r="Y33" s="43"/>
      <c r="Z33" s="43"/>
      <c r="AA33" s="62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4"/>
      <c r="AM33" s="37">
        <v>4</v>
      </c>
      <c r="AN33" s="37"/>
      <c r="AO33" s="37"/>
      <c r="AP33" s="37"/>
      <c r="AQ33" s="37"/>
      <c r="AR33" s="37"/>
      <c r="AS33" s="37"/>
      <c r="AT33" s="37"/>
      <c r="AU33" s="37"/>
      <c r="AV33" s="37"/>
      <c r="AW33" s="38"/>
      <c r="AX33" s="31">
        <v>4</v>
      </c>
      <c r="AY33" s="31"/>
      <c r="AZ33" s="31"/>
      <c r="BA33" s="31"/>
      <c r="BB33" s="31"/>
      <c r="BC33" s="31"/>
      <c r="BD33" s="31"/>
      <c r="BE33" s="31"/>
      <c r="BF33" s="31"/>
      <c r="BG33" s="31"/>
      <c r="BH33" s="31">
        <v>0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</row>
    <row r="34" spans="1:70" s="6" customFormat="1" ht="42.75" customHeight="1">
      <c r="A34" s="47" t="s">
        <v>58</v>
      </c>
      <c r="B34" s="48"/>
      <c r="C34" s="42"/>
      <c r="D34" s="42"/>
      <c r="E34" s="42"/>
      <c r="F34" s="42"/>
      <c r="G34" s="42"/>
      <c r="H34" s="42"/>
      <c r="I34" s="28" t="s">
        <v>359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43" t="s">
        <v>27</v>
      </c>
      <c r="Y34" s="43"/>
      <c r="Z34" s="43"/>
      <c r="AA34" s="49" t="s">
        <v>59</v>
      </c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1"/>
      <c r="AM34" s="76" t="s">
        <v>361</v>
      </c>
      <c r="AN34" s="76"/>
      <c r="AO34" s="76"/>
      <c r="AP34" s="76"/>
      <c r="AQ34" s="76"/>
      <c r="AR34" s="76"/>
      <c r="AS34" s="76"/>
      <c r="AT34" s="76"/>
      <c r="AU34" s="76"/>
      <c r="AV34" s="76"/>
      <c r="AW34" s="77"/>
      <c r="AX34" s="46" t="s">
        <v>362</v>
      </c>
      <c r="AY34" s="46"/>
      <c r="AZ34" s="46"/>
      <c r="BA34" s="46"/>
      <c r="BB34" s="46"/>
      <c r="BC34" s="46"/>
      <c r="BD34" s="46"/>
      <c r="BE34" s="46"/>
      <c r="BF34" s="46"/>
      <c r="BG34" s="46"/>
      <c r="BH34" s="46" t="s">
        <v>363</v>
      </c>
      <c r="BI34" s="46"/>
      <c r="BJ34" s="46"/>
      <c r="BK34" s="46"/>
      <c r="BL34" s="46"/>
      <c r="BM34" s="46"/>
      <c r="BN34" s="46"/>
      <c r="BO34" s="46"/>
      <c r="BP34" s="46"/>
      <c r="BQ34" s="46"/>
      <c r="BR34" s="46"/>
    </row>
    <row r="35" spans="1:70" s="6" customFormat="1" ht="48" customHeight="1">
      <c r="A35" s="47" t="s">
        <v>58</v>
      </c>
      <c r="B35" s="48"/>
      <c r="C35" s="42"/>
      <c r="D35" s="42"/>
      <c r="E35" s="42"/>
      <c r="F35" s="42"/>
      <c r="G35" s="42"/>
      <c r="H35" s="42"/>
      <c r="I35" s="28" t="s">
        <v>360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43" t="s">
        <v>27</v>
      </c>
      <c r="Y35" s="43"/>
      <c r="Z35" s="43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4"/>
      <c r="AM35" s="37">
        <v>3500</v>
      </c>
      <c r="AN35" s="37"/>
      <c r="AO35" s="37"/>
      <c r="AP35" s="37"/>
      <c r="AQ35" s="37"/>
      <c r="AR35" s="37"/>
      <c r="AS35" s="37"/>
      <c r="AT35" s="37"/>
      <c r="AU35" s="37"/>
      <c r="AV35" s="37"/>
      <c r="AW35" s="38"/>
      <c r="AX35" s="31">
        <v>4662</v>
      </c>
      <c r="AY35" s="31"/>
      <c r="AZ35" s="31"/>
      <c r="BA35" s="31"/>
      <c r="BB35" s="31"/>
      <c r="BC35" s="31"/>
      <c r="BD35" s="31"/>
      <c r="BE35" s="31"/>
      <c r="BF35" s="31"/>
      <c r="BG35" s="31"/>
      <c r="BH35" s="31">
        <f>AX35-AM35</f>
        <v>1162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</row>
    <row r="36" spans="1:70" s="1" customFormat="1" ht="20.25" customHeight="1">
      <c r="A36" s="32">
        <v>3</v>
      </c>
      <c r="B36" s="32"/>
      <c r="C36" s="33"/>
      <c r="D36" s="34"/>
      <c r="E36" s="34"/>
      <c r="F36" s="34"/>
      <c r="G36" s="34"/>
      <c r="H36" s="35"/>
      <c r="I36" s="44" t="s">
        <v>41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</row>
    <row r="37" spans="1:70" s="1" customFormat="1" ht="37.5" customHeight="1">
      <c r="A37" s="40" t="s">
        <v>47</v>
      </c>
      <c r="B37" s="41"/>
      <c r="C37" s="42"/>
      <c r="D37" s="42"/>
      <c r="E37" s="42"/>
      <c r="F37" s="42"/>
      <c r="G37" s="42"/>
      <c r="H37" s="42"/>
      <c r="I37" s="28" t="s">
        <v>60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43" t="s">
        <v>32</v>
      </c>
      <c r="Y37" s="43"/>
      <c r="Z37" s="43"/>
      <c r="AA37" s="39" t="s">
        <v>43</v>
      </c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7">
        <f>(AM29-400845)/AM32</f>
        <v>20114.14285714286</v>
      </c>
      <c r="AN37" s="37"/>
      <c r="AO37" s="37"/>
      <c r="AP37" s="37"/>
      <c r="AQ37" s="37"/>
      <c r="AR37" s="37"/>
      <c r="AS37" s="37"/>
      <c r="AT37" s="37"/>
      <c r="AU37" s="37"/>
      <c r="AV37" s="37"/>
      <c r="AW37" s="38"/>
      <c r="AX37" s="31">
        <f>(AX29-400837.81)/AX32</f>
        <v>15959.25642857143</v>
      </c>
      <c r="AY37" s="31"/>
      <c r="AZ37" s="31"/>
      <c r="BA37" s="31"/>
      <c r="BB37" s="31"/>
      <c r="BC37" s="31"/>
      <c r="BD37" s="31"/>
      <c r="BE37" s="31"/>
      <c r="BF37" s="31"/>
      <c r="BG37" s="31"/>
      <c r="BH37" s="31">
        <f>AX37-AM37</f>
        <v>-4154.886428571428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</row>
    <row r="38" spans="1:70" s="2" customFormat="1" ht="39" customHeight="1">
      <c r="A38" s="40" t="s">
        <v>47</v>
      </c>
      <c r="B38" s="41"/>
      <c r="C38" s="42"/>
      <c r="D38" s="42"/>
      <c r="E38" s="42"/>
      <c r="F38" s="42"/>
      <c r="G38" s="42"/>
      <c r="H38" s="42"/>
      <c r="I38" s="28" t="s">
        <v>99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43" t="s">
        <v>32</v>
      </c>
      <c r="Y38" s="43"/>
      <c r="Z38" s="43"/>
      <c r="AA38" s="39" t="s">
        <v>43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7">
        <f>400845/4</f>
        <v>100211.25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8"/>
      <c r="AX38" s="31">
        <f>400837.81/5</f>
        <v>80167.562</v>
      </c>
      <c r="AY38" s="31"/>
      <c r="AZ38" s="31"/>
      <c r="BA38" s="31"/>
      <c r="BB38" s="31"/>
      <c r="BC38" s="31"/>
      <c r="BD38" s="31"/>
      <c r="BE38" s="31"/>
      <c r="BF38" s="31"/>
      <c r="BG38" s="31"/>
      <c r="BH38" s="31">
        <f>AX38-AM38</f>
        <v>-20043.687999999995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</row>
    <row r="39" spans="1:70" s="2" customFormat="1" ht="54.75" customHeight="1">
      <c r="A39" s="32"/>
      <c r="B39" s="32"/>
      <c r="C39" s="33"/>
      <c r="D39" s="34"/>
      <c r="E39" s="34"/>
      <c r="F39" s="34"/>
      <c r="G39" s="34"/>
      <c r="H39" s="35"/>
      <c r="I39" s="36" t="s">
        <v>374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</row>
    <row r="40" spans="1:70" s="2" customFormat="1" ht="16.5" customHeight="1">
      <c r="A40" s="65"/>
      <c r="B40" s="66"/>
      <c r="C40" s="42"/>
      <c r="D40" s="42"/>
      <c r="E40" s="42"/>
      <c r="F40" s="42"/>
      <c r="G40" s="42"/>
      <c r="H40" s="42"/>
      <c r="I40" s="56" t="s">
        <v>371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</row>
    <row r="41" spans="1:70" ht="12.75" customHeight="1">
      <c r="A41" s="58">
        <v>2</v>
      </c>
      <c r="B41" s="58"/>
      <c r="C41" s="59"/>
      <c r="D41" s="59"/>
      <c r="E41" s="59"/>
      <c r="F41" s="59"/>
      <c r="G41" s="59"/>
      <c r="H41" s="59"/>
      <c r="I41" s="60" t="s">
        <v>373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</row>
    <row r="42" spans="1:70" s="2" customFormat="1" ht="45" customHeight="1">
      <c r="A42" s="79" t="s">
        <v>45</v>
      </c>
      <c r="B42" s="80"/>
      <c r="C42" s="42"/>
      <c r="D42" s="42"/>
      <c r="E42" s="42"/>
      <c r="F42" s="42"/>
      <c r="G42" s="42"/>
      <c r="H42" s="42"/>
      <c r="I42" s="28" t="s">
        <v>5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74" t="s">
        <v>32</v>
      </c>
      <c r="Y42" s="74"/>
      <c r="Z42" s="75"/>
      <c r="AA42" s="39" t="s">
        <v>97</v>
      </c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7">
        <f>4226</f>
        <v>4226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8"/>
      <c r="AX42" s="31">
        <f>4225.44</f>
        <v>4225.44</v>
      </c>
      <c r="AY42" s="31"/>
      <c r="AZ42" s="31"/>
      <c r="BA42" s="31"/>
      <c r="BB42" s="31"/>
      <c r="BC42" s="31"/>
      <c r="BD42" s="31"/>
      <c r="BE42" s="31"/>
      <c r="BF42" s="31"/>
      <c r="BG42" s="31"/>
      <c r="BH42" s="31">
        <f>AX42-AM42</f>
        <v>-0.5600000000004002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</row>
    <row r="43" spans="1:70" s="2" customFormat="1" ht="28.5" customHeight="1">
      <c r="A43" s="32"/>
      <c r="B43" s="32"/>
      <c r="C43" s="33"/>
      <c r="D43" s="34"/>
      <c r="E43" s="34"/>
      <c r="F43" s="34"/>
      <c r="G43" s="34"/>
      <c r="H43" s="35"/>
      <c r="I43" s="36" t="s">
        <v>375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</row>
    <row r="44" spans="1:70" ht="12.75" customHeight="1">
      <c r="A44" s="58">
        <v>2</v>
      </c>
      <c r="B44" s="58"/>
      <c r="C44" s="59"/>
      <c r="D44" s="59"/>
      <c r="E44" s="59"/>
      <c r="F44" s="59"/>
      <c r="G44" s="59"/>
      <c r="H44" s="59"/>
      <c r="I44" s="60" t="s">
        <v>40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</row>
    <row r="45" spans="1:70" ht="31.5" customHeight="1">
      <c r="A45" s="47" t="s">
        <v>58</v>
      </c>
      <c r="B45" s="48"/>
      <c r="C45" s="42"/>
      <c r="D45" s="42"/>
      <c r="E45" s="42"/>
      <c r="F45" s="42"/>
      <c r="G45" s="42"/>
      <c r="H45" s="42"/>
      <c r="I45" s="28" t="s">
        <v>57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43" t="s">
        <v>27</v>
      </c>
      <c r="Y45" s="43"/>
      <c r="Z45" s="43"/>
      <c r="AA45" s="78" t="s">
        <v>97</v>
      </c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5"/>
      <c r="AM45" s="37">
        <v>8</v>
      </c>
      <c r="AN45" s="37"/>
      <c r="AO45" s="37"/>
      <c r="AP45" s="37"/>
      <c r="AQ45" s="37"/>
      <c r="AR45" s="37"/>
      <c r="AS45" s="37"/>
      <c r="AT45" s="37"/>
      <c r="AU45" s="37"/>
      <c r="AV45" s="37"/>
      <c r="AW45" s="38"/>
      <c r="AX45" s="31">
        <v>8</v>
      </c>
      <c r="AY45" s="31"/>
      <c r="AZ45" s="31"/>
      <c r="BA45" s="31"/>
      <c r="BB45" s="31"/>
      <c r="BC45" s="31"/>
      <c r="BD45" s="31"/>
      <c r="BE45" s="31"/>
      <c r="BF45" s="31"/>
      <c r="BG45" s="31"/>
      <c r="BH45" s="31">
        <v>0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" customFormat="1" ht="11.25" customHeight="1">
      <c r="A46" s="32">
        <v>3</v>
      </c>
      <c r="B46" s="32"/>
      <c r="C46" s="33"/>
      <c r="D46" s="34"/>
      <c r="E46" s="34"/>
      <c r="F46" s="34"/>
      <c r="G46" s="34"/>
      <c r="H46" s="35"/>
      <c r="I46" s="44" t="s">
        <v>41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</row>
    <row r="47" spans="1:70" s="2" customFormat="1" ht="31.5" customHeight="1">
      <c r="A47" s="40" t="s">
        <v>47</v>
      </c>
      <c r="B47" s="41"/>
      <c r="C47" s="42"/>
      <c r="D47" s="42"/>
      <c r="E47" s="42"/>
      <c r="F47" s="42"/>
      <c r="G47" s="42"/>
      <c r="H47" s="42"/>
      <c r="I47" s="67" t="s">
        <v>62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9"/>
      <c r="X47" s="70" t="s">
        <v>32</v>
      </c>
      <c r="Y47" s="70"/>
      <c r="Z47" s="70"/>
      <c r="AA47" s="71" t="s">
        <v>43</v>
      </c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2">
        <f>AM42/AM45</f>
        <v>528.25</v>
      </c>
      <c r="AN47" s="72"/>
      <c r="AO47" s="72"/>
      <c r="AP47" s="72"/>
      <c r="AQ47" s="72"/>
      <c r="AR47" s="72"/>
      <c r="AS47" s="72"/>
      <c r="AT47" s="72"/>
      <c r="AU47" s="72"/>
      <c r="AV47" s="72"/>
      <c r="AW47" s="73"/>
      <c r="AX47" s="55">
        <f>AX42/AX45</f>
        <v>528.18</v>
      </c>
      <c r="AY47" s="55"/>
      <c r="AZ47" s="55"/>
      <c r="BA47" s="55"/>
      <c r="BB47" s="55"/>
      <c r="BC47" s="55"/>
      <c r="BD47" s="55"/>
      <c r="BE47" s="55"/>
      <c r="BF47" s="55"/>
      <c r="BG47" s="55"/>
      <c r="BH47" s="31">
        <f>AX47-AM47</f>
        <v>-0.07000000000005002</v>
      </c>
      <c r="BI47" s="31"/>
      <c r="BJ47" s="31"/>
      <c r="BK47" s="31"/>
      <c r="BL47" s="31"/>
      <c r="BM47" s="31"/>
      <c r="BN47" s="31"/>
      <c r="BO47" s="31"/>
      <c r="BP47" s="31"/>
      <c r="BQ47" s="31"/>
      <c r="BR47" s="31"/>
    </row>
    <row r="48" spans="1:70" s="2" customFormat="1" ht="16.5" customHeight="1">
      <c r="A48" s="65"/>
      <c r="B48" s="66"/>
      <c r="C48" s="42"/>
      <c r="D48" s="42"/>
      <c r="E48" s="42"/>
      <c r="F48" s="42"/>
      <c r="G48" s="42"/>
      <c r="H48" s="42"/>
      <c r="I48" s="81" t="s">
        <v>376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</row>
    <row r="49" spans="1:70" s="1" customFormat="1" ht="12.75" customHeight="1">
      <c r="A49" s="32">
        <v>1</v>
      </c>
      <c r="B49" s="32"/>
      <c r="C49" s="33"/>
      <c r="D49" s="34"/>
      <c r="E49" s="34"/>
      <c r="F49" s="34"/>
      <c r="G49" s="34"/>
      <c r="H49" s="35"/>
      <c r="I49" s="44" t="s">
        <v>50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</row>
    <row r="50" spans="1:70" s="2" customFormat="1" ht="30" customHeight="1">
      <c r="A50" s="40" t="s">
        <v>44</v>
      </c>
      <c r="B50" s="41"/>
      <c r="C50" s="42"/>
      <c r="D50" s="42"/>
      <c r="E50" s="42"/>
      <c r="F50" s="42"/>
      <c r="G50" s="42"/>
      <c r="H50" s="42"/>
      <c r="I50" s="28" t="s">
        <v>5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43" t="s">
        <v>32</v>
      </c>
      <c r="Y50" s="43"/>
      <c r="Z50" s="43"/>
      <c r="AA50" s="39" t="s">
        <v>94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7">
        <v>2641</v>
      </c>
      <c r="AN50" s="37"/>
      <c r="AO50" s="37"/>
      <c r="AP50" s="37"/>
      <c r="AQ50" s="37"/>
      <c r="AR50" s="37"/>
      <c r="AS50" s="37"/>
      <c r="AT50" s="37"/>
      <c r="AU50" s="37"/>
      <c r="AV50" s="37"/>
      <c r="AW50" s="38"/>
      <c r="AX50" s="31">
        <f>2640.9</f>
        <v>2640.9</v>
      </c>
      <c r="AY50" s="31"/>
      <c r="AZ50" s="31"/>
      <c r="BA50" s="31"/>
      <c r="BB50" s="31"/>
      <c r="BC50" s="31"/>
      <c r="BD50" s="31"/>
      <c r="BE50" s="31"/>
      <c r="BF50" s="31"/>
      <c r="BG50" s="31"/>
      <c r="BH50" s="31">
        <f>AX50-AM50</f>
        <v>-0.09999999999990905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</row>
    <row r="51" spans="1:70" s="1" customFormat="1" ht="18" customHeight="1">
      <c r="A51" s="32">
        <v>2</v>
      </c>
      <c r="B51" s="32"/>
      <c r="C51" s="92"/>
      <c r="D51" s="92"/>
      <c r="E51" s="92"/>
      <c r="F51" s="92"/>
      <c r="G51" s="92"/>
      <c r="H51" s="92"/>
      <c r="I51" s="44" t="s">
        <v>40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</row>
    <row r="52" spans="1:70" s="1" customFormat="1" ht="61.5" customHeight="1">
      <c r="A52" s="40" t="s">
        <v>46</v>
      </c>
      <c r="B52" s="41"/>
      <c r="C52" s="42"/>
      <c r="D52" s="42"/>
      <c r="E52" s="42"/>
      <c r="F52" s="42"/>
      <c r="G52" s="42"/>
      <c r="H52" s="42"/>
      <c r="I52" s="28" t="s">
        <v>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43" t="s">
        <v>32</v>
      </c>
      <c r="Y52" s="43"/>
      <c r="Z52" s="43"/>
      <c r="AA52" s="39" t="s">
        <v>95</v>
      </c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7">
        <v>5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8"/>
      <c r="AX52" s="31">
        <v>5</v>
      </c>
      <c r="AY52" s="31"/>
      <c r="AZ52" s="31"/>
      <c r="BA52" s="31"/>
      <c r="BB52" s="31"/>
      <c r="BC52" s="31"/>
      <c r="BD52" s="31"/>
      <c r="BE52" s="31"/>
      <c r="BF52" s="31"/>
      <c r="BG52" s="31"/>
      <c r="BH52" s="31">
        <v>0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/>
    </row>
    <row r="53" spans="1:69" s="2" customFormat="1" ht="20.25" customHeight="1" hidden="1">
      <c r="A53" s="89" t="s">
        <v>81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119"/>
      <c r="BI53" s="119"/>
      <c r="BJ53" s="119"/>
      <c r="BK53" s="119"/>
      <c r="BL53" s="119"/>
      <c r="BM53" s="119"/>
      <c r="BN53" s="119"/>
      <c r="BO53" s="119"/>
      <c r="BP53" s="119"/>
      <c r="BQ53" s="120"/>
    </row>
    <row r="54" spans="1:70" s="1" customFormat="1" ht="14.25" customHeight="1">
      <c r="A54" s="32">
        <v>3</v>
      </c>
      <c r="B54" s="32"/>
      <c r="C54" s="33"/>
      <c r="D54" s="34"/>
      <c r="E54" s="34"/>
      <c r="F54" s="34"/>
      <c r="G54" s="34"/>
      <c r="H54" s="35"/>
      <c r="I54" s="189" t="s">
        <v>41</v>
      </c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</row>
    <row r="55" spans="1:70" s="1" customFormat="1" ht="45" customHeight="1">
      <c r="A55" s="40" t="s">
        <v>47</v>
      </c>
      <c r="B55" s="41"/>
      <c r="C55" s="42"/>
      <c r="D55" s="42"/>
      <c r="E55" s="42"/>
      <c r="F55" s="42"/>
      <c r="G55" s="42"/>
      <c r="H55" s="42"/>
      <c r="I55" s="28" t="s">
        <v>62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  <c r="X55" s="43" t="s">
        <v>32</v>
      </c>
      <c r="Y55" s="43"/>
      <c r="Z55" s="43"/>
      <c r="AA55" s="39" t="s">
        <v>43</v>
      </c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7">
        <f>AM50/AM52</f>
        <v>528.2</v>
      </c>
      <c r="AN55" s="37"/>
      <c r="AO55" s="37"/>
      <c r="AP55" s="37"/>
      <c r="AQ55" s="37"/>
      <c r="AR55" s="37"/>
      <c r="AS55" s="37"/>
      <c r="AT55" s="37"/>
      <c r="AU55" s="37"/>
      <c r="AV55" s="37"/>
      <c r="AW55" s="38"/>
      <c r="AX55" s="31">
        <f>AX50/AX52</f>
        <v>528.1800000000001</v>
      </c>
      <c r="AY55" s="31"/>
      <c r="AZ55" s="31"/>
      <c r="BA55" s="31"/>
      <c r="BB55" s="31"/>
      <c r="BC55" s="31"/>
      <c r="BD55" s="31"/>
      <c r="BE55" s="31"/>
      <c r="BF55" s="31"/>
      <c r="BG55" s="31"/>
      <c r="BH55" s="31">
        <f>AX55-AM55</f>
        <v>-0.01999999999998181</v>
      </c>
      <c r="BI55" s="31"/>
      <c r="BJ55" s="31"/>
      <c r="BK55" s="31"/>
      <c r="BL55" s="31"/>
      <c r="BM55" s="31"/>
      <c r="BN55" s="31"/>
      <c r="BO55" s="31"/>
      <c r="BP55" s="31"/>
      <c r="BQ55" s="31"/>
      <c r="BR55" s="31"/>
    </row>
    <row r="56" spans="1:69" s="6" customFormat="1" ht="35.25" customHeight="1" hidden="1">
      <c r="A56" s="58"/>
      <c r="B56" s="58"/>
      <c r="C56" s="137"/>
      <c r="D56" s="138"/>
      <c r="E56" s="138"/>
      <c r="F56" s="138"/>
      <c r="G56" s="138"/>
      <c r="H56" s="139"/>
      <c r="I56" s="154" t="s">
        <v>11</v>
      </c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</row>
    <row r="57" spans="1:69" s="6" customFormat="1" ht="17.25" customHeight="1" hidden="1">
      <c r="A57" s="58"/>
      <c r="B57" s="58"/>
      <c r="C57" s="137"/>
      <c r="D57" s="138"/>
      <c r="E57" s="138"/>
      <c r="F57" s="138"/>
      <c r="G57" s="138"/>
      <c r="H57" s="139"/>
      <c r="I57" s="154" t="s">
        <v>21</v>
      </c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</row>
    <row r="58" spans="1:69" s="6" customFormat="1" ht="14.25" customHeight="1" hidden="1">
      <c r="A58" s="135"/>
      <c r="B58" s="136"/>
      <c r="C58" s="167" t="s">
        <v>55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</row>
    <row r="59" spans="1:69" ht="33" customHeight="1" hidden="1">
      <c r="A59" s="58">
        <v>1</v>
      </c>
      <c r="B59" s="58"/>
      <c r="C59" s="168" t="s">
        <v>50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</row>
    <row r="60" spans="1:69" ht="39.75" customHeight="1" hidden="1">
      <c r="A60" s="122" t="s">
        <v>44</v>
      </c>
      <c r="B60" s="124"/>
      <c r="C60" s="161" t="s">
        <v>63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  <c r="R60" s="121" t="s">
        <v>32</v>
      </c>
      <c r="S60" s="121"/>
      <c r="T60" s="121"/>
      <c r="U60" s="146" t="s">
        <v>51</v>
      </c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160">
        <v>50000</v>
      </c>
      <c r="AJ60" s="160"/>
      <c r="AK60" s="160"/>
      <c r="AL60" s="160">
        <f>AD60</f>
        <v>0</v>
      </c>
      <c r="AM60" s="160"/>
      <c r="AN60" s="160"/>
      <c r="AO60" s="160"/>
      <c r="AP60" s="160"/>
      <c r="AQ60" s="160">
        <v>1</v>
      </c>
      <c r="AR60" s="160"/>
      <c r="AS60" s="160"/>
      <c r="AT60" s="159">
        <v>0</v>
      </c>
      <c r="AU60" s="159"/>
      <c r="AV60" s="159"/>
      <c r="AW60" s="159"/>
      <c r="AX60" s="159"/>
      <c r="AY60" s="159"/>
      <c r="AZ60" s="159"/>
      <c r="BA60" s="159"/>
      <c r="BB60" s="159"/>
      <c r="BC60" s="159"/>
      <c r="BD60" s="160">
        <f>AT60-AI60</f>
        <v>-50000</v>
      </c>
      <c r="BE60" s="121"/>
      <c r="BF60" s="121"/>
      <c r="BG60" s="121"/>
      <c r="BH60" s="121"/>
      <c r="BI60" s="121"/>
      <c r="BJ60" s="121" t="s">
        <v>31</v>
      </c>
      <c r="BK60" s="121"/>
      <c r="BL60" s="121"/>
      <c r="BM60" s="121"/>
      <c r="BN60" s="121">
        <f>BD60</f>
        <v>-50000</v>
      </c>
      <c r="BO60" s="121"/>
      <c r="BP60" s="121"/>
      <c r="BQ60" s="121"/>
    </row>
    <row r="61" spans="1:69" s="6" customFormat="1" ht="13.5" hidden="1">
      <c r="A61" s="164" t="s">
        <v>79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6"/>
    </row>
    <row r="62" spans="1:69" ht="45" customHeight="1" hidden="1">
      <c r="A62" s="58">
        <v>2</v>
      </c>
      <c r="B62" s="58"/>
      <c r="C62" s="168" t="s">
        <v>40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</row>
    <row r="63" spans="1:69" ht="38.25" customHeight="1" hidden="1">
      <c r="A63" s="122" t="s">
        <v>46</v>
      </c>
      <c r="B63" s="124"/>
      <c r="C63" s="161" t="s">
        <v>66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  <c r="R63" s="121" t="s">
        <v>27</v>
      </c>
      <c r="S63" s="121"/>
      <c r="T63" s="121"/>
      <c r="U63" s="151" t="s">
        <v>68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2"/>
      <c r="AI63" s="160">
        <v>1</v>
      </c>
      <c r="AJ63" s="160"/>
      <c r="AK63" s="160"/>
      <c r="AL63" s="160">
        <f>AD63</f>
        <v>0</v>
      </c>
      <c r="AM63" s="160"/>
      <c r="AN63" s="160"/>
      <c r="AO63" s="160"/>
      <c r="AP63" s="160"/>
      <c r="AQ63" s="160">
        <v>40</v>
      </c>
      <c r="AR63" s="160"/>
      <c r="AS63" s="160"/>
      <c r="AT63" s="159">
        <v>0</v>
      </c>
      <c r="AU63" s="159"/>
      <c r="AV63" s="159" t="s">
        <v>31</v>
      </c>
      <c r="AW63" s="159"/>
      <c r="AX63" s="159"/>
      <c r="AY63" s="159"/>
      <c r="AZ63" s="159"/>
      <c r="BA63" s="159">
        <f>AQ63</f>
        <v>40</v>
      </c>
      <c r="BB63" s="159"/>
      <c r="BC63" s="159"/>
      <c r="BD63" s="160">
        <f>AT63-AI63</f>
        <v>-1</v>
      </c>
      <c r="BE63" s="121"/>
      <c r="BF63" s="121"/>
      <c r="BG63" s="121"/>
      <c r="BH63" s="121"/>
      <c r="BI63" s="121"/>
      <c r="BJ63" s="121" t="s">
        <v>31</v>
      </c>
      <c r="BK63" s="121"/>
      <c r="BL63" s="121"/>
      <c r="BM63" s="121"/>
      <c r="BN63" s="121">
        <f>BD63</f>
        <v>-1</v>
      </c>
      <c r="BO63" s="121"/>
      <c r="BP63" s="121"/>
      <c r="BQ63" s="121"/>
    </row>
    <row r="64" spans="1:69" s="6" customFormat="1" ht="14.25" customHeight="1" hidden="1">
      <c r="A64" s="164" t="s">
        <v>80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6"/>
    </row>
    <row r="65" spans="1:69" ht="25.5" customHeight="1" hidden="1">
      <c r="A65" s="58">
        <v>3</v>
      </c>
      <c r="B65" s="58"/>
      <c r="C65" s="168" t="s">
        <v>41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</row>
    <row r="66" spans="1:69" ht="35.25" customHeight="1" hidden="1">
      <c r="A66" s="151" t="s">
        <v>47</v>
      </c>
      <c r="B66" s="152"/>
      <c r="C66" s="161" t="s">
        <v>67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  <c r="R66" s="121" t="s">
        <v>32</v>
      </c>
      <c r="S66" s="121"/>
      <c r="T66" s="121"/>
      <c r="U66" s="121" t="s">
        <v>43</v>
      </c>
      <c r="V66" s="121"/>
      <c r="W66" s="121"/>
      <c r="X66" s="121"/>
      <c r="Y66" s="121"/>
      <c r="Z66" s="121"/>
      <c r="AA66" s="121"/>
      <c r="AB66" s="121"/>
      <c r="AC66" s="121"/>
      <c r="AD66" s="121" t="e">
        <f>#REF!*1000</f>
        <v>#REF!</v>
      </c>
      <c r="AE66" s="121"/>
      <c r="AF66" s="121"/>
      <c r="AG66" s="121"/>
      <c r="AH66" s="121"/>
      <c r="AI66" s="160">
        <v>50000</v>
      </c>
      <c r="AJ66" s="160"/>
      <c r="AK66" s="160"/>
      <c r="AL66" s="160" t="e">
        <f>AD66</f>
        <v>#REF!</v>
      </c>
      <c r="AM66" s="160"/>
      <c r="AN66" s="160"/>
      <c r="AO66" s="160"/>
      <c r="AP66" s="160"/>
      <c r="AQ66" s="160" t="e">
        <f>#REF!*1000</f>
        <v>#REF!</v>
      </c>
      <c r="AR66" s="160"/>
      <c r="AS66" s="160"/>
      <c r="AT66" s="169">
        <v>0</v>
      </c>
      <c r="AU66" s="169"/>
      <c r="AV66" s="169"/>
      <c r="AW66" s="169"/>
      <c r="AX66" s="169"/>
      <c r="AY66" s="169"/>
      <c r="AZ66" s="169"/>
      <c r="BA66" s="169"/>
      <c r="BB66" s="169"/>
      <c r="BC66" s="169"/>
      <c r="BD66" s="160">
        <f>AT66-AI66</f>
        <v>-50000</v>
      </c>
      <c r="BE66" s="121"/>
      <c r="BF66" s="121"/>
      <c r="BG66" s="121"/>
      <c r="BH66" s="121"/>
      <c r="BI66" s="121"/>
      <c r="BJ66" s="121" t="s">
        <v>31</v>
      </c>
      <c r="BK66" s="121"/>
      <c r="BL66" s="121"/>
      <c r="BM66" s="121"/>
      <c r="BN66" s="121">
        <f>BD66</f>
        <v>-50000</v>
      </c>
      <c r="BO66" s="121"/>
      <c r="BP66" s="121"/>
      <c r="BQ66" s="121"/>
    </row>
    <row r="67" spans="1:69" s="6" customFormat="1" ht="14.25" customHeight="1" hidden="1">
      <c r="A67" s="184" t="s">
        <v>61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6"/>
    </row>
    <row r="68" spans="1:69" ht="54" customHeight="1" hidden="1">
      <c r="A68" s="58">
        <v>4</v>
      </c>
      <c r="B68" s="58"/>
      <c r="C68" s="168" t="s">
        <v>42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</row>
    <row r="69" spans="1:70" s="2" customFormat="1" ht="27" customHeight="1">
      <c r="A69" s="65"/>
      <c r="B69" s="66"/>
      <c r="C69" s="42" t="s">
        <v>93</v>
      </c>
      <c r="D69" s="42"/>
      <c r="E69" s="42"/>
      <c r="F69" s="42"/>
      <c r="G69" s="42"/>
      <c r="H69" s="42"/>
      <c r="I69" s="187" t="s">
        <v>377</v>
      </c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</row>
    <row r="70" spans="1:70" s="2" customFormat="1" ht="33" customHeight="1">
      <c r="A70" s="65"/>
      <c r="B70" s="66"/>
      <c r="C70" s="42"/>
      <c r="D70" s="42"/>
      <c r="E70" s="42"/>
      <c r="F70" s="42"/>
      <c r="G70" s="42"/>
      <c r="H70" s="42"/>
      <c r="I70" s="140" t="s">
        <v>372</v>
      </c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</row>
    <row r="71" spans="1:70" s="1" customFormat="1" ht="15" customHeight="1">
      <c r="A71" s="32">
        <v>1</v>
      </c>
      <c r="B71" s="32"/>
      <c r="C71" s="33"/>
      <c r="D71" s="34"/>
      <c r="E71" s="34"/>
      <c r="F71" s="34"/>
      <c r="G71" s="34"/>
      <c r="H71" s="35"/>
      <c r="I71" s="44" t="s">
        <v>50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</row>
    <row r="72" spans="1:70" s="2" customFormat="1" ht="21.75" customHeight="1">
      <c r="A72" s="40" t="s">
        <v>44</v>
      </c>
      <c r="B72" s="41"/>
      <c r="C72" s="42"/>
      <c r="D72" s="42"/>
      <c r="E72" s="42"/>
      <c r="F72" s="42"/>
      <c r="G72" s="42"/>
      <c r="H72" s="42"/>
      <c r="I72" s="28" t="s">
        <v>70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0"/>
      <c r="X72" s="43" t="s">
        <v>32</v>
      </c>
      <c r="Y72" s="43"/>
      <c r="Z72" s="43"/>
      <c r="AA72" s="39" t="s">
        <v>101</v>
      </c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7">
        <f>160580</f>
        <v>160580</v>
      </c>
      <c r="AN72" s="37"/>
      <c r="AO72" s="37"/>
      <c r="AP72" s="37"/>
      <c r="AQ72" s="37"/>
      <c r="AR72" s="37"/>
      <c r="AS72" s="37"/>
      <c r="AT72" s="37"/>
      <c r="AU72" s="37"/>
      <c r="AV72" s="37"/>
      <c r="AW72" s="38"/>
      <c r="AX72" s="31">
        <f>160580</f>
        <v>160580</v>
      </c>
      <c r="AY72" s="31"/>
      <c r="AZ72" s="31"/>
      <c r="BA72" s="31"/>
      <c r="BB72" s="31"/>
      <c r="BC72" s="31"/>
      <c r="BD72" s="31"/>
      <c r="BE72" s="31"/>
      <c r="BF72" s="31"/>
      <c r="BG72" s="31"/>
      <c r="BH72" s="31">
        <v>0</v>
      </c>
      <c r="BI72" s="31"/>
      <c r="BJ72" s="31"/>
      <c r="BK72" s="31"/>
      <c r="BL72" s="31"/>
      <c r="BM72" s="31"/>
      <c r="BN72" s="31"/>
      <c r="BO72" s="31"/>
      <c r="BP72" s="31"/>
      <c r="BQ72" s="31"/>
      <c r="BR72" s="31"/>
    </row>
    <row r="73" spans="1:69" s="1" customFormat="1" ht="28.5" customHeight="1" hidden="1">
      <c r="A73" s="32"/>
      <c r="B73" s="32"/>
      <c r="C73" s="33"/>
      <c r="D73" s="34"/>
      <c r="E73" s="34"/>
      <c r="F73" s="34"/>
      <c r="G73" s="34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</row>
    <row r="74" spans="1:69" s="2" customFormat="1" ht="14.25" customHeight="1" hidden="1">
      <c r="A74" s="89" t="s">
        <v>23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1"/>
    </row>
    <row r="75" spans="1:70" s="1" customFormat="1" ht="20.25" customHeight="1">
      <c r="A75" s="32">
        <v>2</v>
      </c>
      <c r="B75" s="32"/>
      <c r="C75" s="92"/>
      <c r="D75" s="92"/>
      <c r="E75" s="92"/>
      <c r="F75" s="92"/>
      <c r="G75" s="92"/>
      <c r="H75" s="92"/>
      <c r="I75" s="44" t="s">
        <v>40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</row>
    <row r="76" spans="1:70" s="1" customFormat="1" ht="38.25" customHeight="1">
      <c r="A76" s="40" t="s">
        <v>46</v>
      </c>
      <c r="B76" s="41"/>
      <c r="C76" s="42"/>
      <c r="D76" s="42"/>
      <c r="E76" s="42"/>
      <c r="F76" s="42"/>
      <c r="G76" s="42"/>
      <c r="H76" s="42"/>
      <c r="I76" s="28" t="s">
        <v>71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0"/>
      <c r="X76" s="43" t="s">
        <v>72</v>
      </c>
      <c r="Y76" s="43"/>
      <c r="Z76" s="43"/>
      <c r="AA76" s="39" t="s">
        <v>73</v>
      </c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7">
        <f>267633</f>
        <v>267633</v>
      </c>
      <c r="AN76" s="37"/>
      <c r="AO76" s="37"/>
      <c r="AP76" s="37"/>
      <c r="AQ76" s="37"/>
      <c r="AR76" s="37"/>
      <c r="AS76" s="37"/>
      <c r="AT76" s="37"/>
      <c r="AU76" s="37"/>
      <c r="AV76" s="37"/>
      <c r="AW76" s="38"/>
      <c r="AX76" s="31">
        <f>267633</f>
        <v>267633</v>
      </c>
      <c r="AY76" s="31"/>
      <c r="AZ76" s="31"/>
      <c r="BA76" s="31"/>
      <c r="BB76" s="31"/>
      <c r="BC76" s="31"/>
      <c r="BD76" s="31"/>
      <c r="BE76" s="31"/>
      <c r="BF76" s="31"/>
      <c r="BG76" s="31"/>
      <c r="BH76" s="31">
        <v>0</v>
      </c>
      <c r="BI76" s="31"/>
      <c r="BJ76" s="31"/>
      <c r="BK76" s="31"/>
      <c r="BL76" s="31"/>
      <c r="BM76" s="31"/>
      <c r="BN76" s="31"/>
      <c r="BO76" s="31"/>
      <c r="BP76" s="31"/>
      <c r="BQ76" s="31"/>
      <c r="BR76" s="31"/>
    </row>
    <row r="77" spans="1:69" s="2" customFormat="1" ht="16.5" customHeight="1" hidden="1">
      <c r="A77" s="89" t="s">
        <v>48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</row>
    <row r="78" spans="1:70" s="1" customFormat="1" ht="12.75" customHeight="1">
      <c r="A78" s="32">
        <v>3</v>
      </c>
      <c r="B78" s="32"/>
      <c r="C78" s="33"/>
      <c r="D78" s="34"/>
      <c r="E78" s="34"/>
      <c r="F78" s="34"/>
      <c r="G78" s="34"/>
      <c r="H78" s="35"/>
      <c r="I78" s="44" t="s">
        <v>41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</row>
    <row r="79" spans="1:70" s="1" customFormat="1" ht="27.75" customHeight="1">
      <c r="A79" s="40" t="s">
        <v>47</v>
      </c>
      <c r="B79" s="41"/>
      <c r="C79" s="42"/>
      <c r="D79" s="42"/>
      <c r="E79" s="42"/>
      <c r="F79" s="42"/>
      <c r="G79" s="42"/>
      <c r="H79" s="42"/>
      <c r="I79" s="28" t="s">
        <v>74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0"/>
      <c r="X79" s="43" t="s">
        <v>32</v>
      </c>
      <c r="Y79" s="43"/>
      <c r="Z79" s="43"/>
      <c r="AA79" s="39" t="s">
        <v>43</v>
      </c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112">
        <v>0.6</v>
      </c>
      <c r="AN79" s="112"/>
      <c r="AO79" s="112"/>
      <c r="AP79" s="112"/>
      <c r="AQ79" s="112"/>
      <c r="AR79" s="112"/>
      <c r="AS79" s="112"/>
      <c r="AT79" s="112"/>
      <c r="AU79" s="112"/>
      <c r="AV79" s="112"/>
      <c r="AW79" s="113"/>
      <c r="AX79" s="183">
        <v>0.6</v>
      </c>
      <c r="AY79" s="183"/>
      <c r="AZ79" s="183"/>
      <c r="BA79" s="183"/>
      <c r="BB79" s="183"/>
      <c r="BC79" s="183"/>
      <c r="BD79" s="183"/>
      <c r="BE79" s="183"/>
      <c r="BF79" s="183"/>
      <c r="BG79" s="183"/>
      <c r="BH79" s="31">
        <v>0</v>
      </c>
      <c r="BI79" s="31"/>
      <c r="BJ79" s="31"/>
      <c r="BK79" s="31"/>
      <c r="BL79" s="31"/>
      <c r="BM79" s="31"/>
      <c r="BN79" s="31"/>
      <c r="BO79" s="31"/>
      <c r="BP79" s="31"/>
      <c r="BQ79" s="31"/>
      <c r="BR79" s="31"/>
    </row>
    <row r="80" spans="1:70" s="6" customFormat="1" ht="16.5" customHeight="1">
      <c r="A80" s="135"/>
      <c r="B80" s="136"/>
      <c r="C80" s="134" t="s">
        <v>93</v>
      </c>
      <c r="D80" s="134"/>
      <c r="E80" s="134"/>
      <c r="F80" s="134"/>
      <c r="G80" s="134"/>
      <c r="H80" s="134"/>
      <c r="I80" s="203" t="s">
        <v>102</v>
      </c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</row>
    <row r="81" spans="1:70" s="2" customFormat="1" ht="16.5" customHeight="1">
      <c r="A81" s="65"/>
      <c r="B81" s="66"/>
      <c r="C81" s="42"/>
      <c r="D81" s="42"/>
      <c r="E81" s="42"/>
      <c r="F81" s="42"/>
      <c r="G81" s="42"/>
      <c r="H81" s="42"/>
      <c r="I81" s="140" t="s">
        <v>85</v>
      </c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</row>
    <row r="82" spans="1:70" s="2" customFormat="1" ht="16.5" customHeight="1">
      <c r="A82" s="65"/>
      <c r="B82" s="66"/>
      <c r="C82" s="42"/>
      <c r="D82" s="42"/>
      <c r="E82" s="42"/>
      <c r="F82" s="42"/>
      <c r="G82" s="42"/>
      <c r="H82" s="42"/>
      <c r="I82" s="140" t="s">
        <v>103</v>
      </c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</row>
    <row r="83" spans="1:70" s="2" customFormat="1" ht="16.5" customHeight="1">
      <c r="A83" s="65"/>
      <c r="B83" s="66"/>
      <c r="C83" s="42"/>
      <c r="D83" s="42"/>
      <c r="E83" s="42"/>
      <c r="F83" s="42"/>
      <c r="G83" s="42"/>
      <c r="H83" s="42"/>
      <c r="I83" s="140" t="s">
        <v>104</v>
      </c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</row>
    <row r="84" spans="1:70" s="1" customFormat="1" ht="15" customHeight="1">
      <c r="A84" s="32">
        <v>1</v>
      </c>
      <c r="B84" s="32"/>
      <c r="C84" s="33"/>
      <c r="D84" s="34"/>
      <c r="E84" s="34"/>
      <c r="F84" s="34"/>
      <c r="G84" s="34"/>
      <c r="H84" s="35"/>
      <c r="I84" s="95" t="s">
        <v>50</v>
      </c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</row>
    <row r="85" spans="1:70" s="1" customFormat="1" ht="30.75" customHeight="1">
      <c r="A85" s="40" t="s">
        <v>44</v>
      </c>
      <c r="B85" s="41"/>
      <c r="C85" s="118"/>
      <c r="D85" s="118"/>
      <c r="E85" s="118"/>
      <c r="F85" s="118"/>
      <c r="G85" s="118"/>
      <c r="H85" s="118"/>
      <c r="I85" s="210" t="s">
        <v>7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2"/>
      <c r="X85" s="204" t="s">
        <v>32</v>
      </c>
      <c r="Y85" s="204"/>
      <c r="Z85" s="204"/>
      <c r="AA85" s="205" t="s">
        <v>101</v>
      </c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7">
        <f>63500</f>
        <v>63500</v>
      </c>
      <c r="AN85" s="207"/>
      <c r="AO85" s="207"/>
      <c r="AP85" s="207"/>
      <c r="AQ85" s="207"/>
      <c r="AR85" s="207"/>
      <c r="AS85" s="207"/>
      <c r="AT85" s="207"/>
      <c r="AU85" s="207"/>
      <c r="AV85" s="207"/>
      <c r="AW85" s="208"/>
      <c r="AX85" s="209">
        <f>57119.38</f>
        <v>57119.38</v>
      </c>
      <c r="AY85" s="209"/>
      <c r="AZ85" s="209"/>
      <c r="BA85" s="209"/>
      <c r="BB85" s="209"/>
      <c r="BC85" s="209"/>
      <c r="BD85" s="209"/>
      <c r="BE85" s="209"/>
      <c r="BF85" s="209"/>
      <c r="BG85" s="209"/>
      <c r="BH85" s="55">
        <f>AX85-AM85</f>
        <v>-6380.620000000003</v>
      </c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s="2" customFormat="1" ht="21" customHeight="1">
      <c r="A86" s="206" t="s">
        <v>108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</row>
    <row r="87" spans="1:70" s="1" customFormat="1" ht="20.25" customHeight="1">
      <c r="A87" s="173">
        <v>2</v>
      </c>
      <c r="B87" s="173"/>
      <c r="C87" s="174"/>
      <c r="D87" s="174"/>
      <c r="E87" s="174"/>
      <c r="F87" s="174"/>
      <c r="G87" s="174"/>
      <c r="H87" s="174"/>
      <c r="I87" s="44" t="s">
        <v>40</v>
      </c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</row>
    <row r="88" spans="1:70" s="2" customFormat="1" ht="69.75" customHeight="1">
      <c r="A88" s="40" t="s">
        <v>44</v>
      </c>
      <c r="B88" s="41"/>
      <c r="C88" s="118"/>
      <c r="D88" s="118"/>
      <c r="E88" s="118"/>
      <c r="F88" s="118"/>
      <c r="G88" s="118"/>
      <c r="H88" s="118"/>
      <c r="I88" s="67" t="s">
        <v>105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70" t="s">
        <v>32</v>
      </c>
      <c r="Y88" s="70"/>
      <c r="Z88" s="70"/>
      <c r="AA88" s="71" t="s">
        <v>106</v>
      </c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2">
        <v>127</v>
      </c>
      <c r="AN88" s="72"/>
      <c r="AO88" s="72"/>
      <c r="AP88" s="72"/>
      <c r="AQ88" s="72"/>
      <c r="AR88" s="72"/>
      <c r="AS88" s="72"/>
      <c r="AT88" s="72"/>
      <c r="AU88" s="72"/>
      <c r="AV88" s="72"/>
      <c r="AW88" s="73"/>
      <c r="AX88" s="55">
        <v>7</v>
      </c>
      <c r="AY88" s="55"/>
      <c r="AZ88" s="55"/>
      <c r="BA88" s="55"/>
      <c r="BB88" s="55"/>
      <c r="BC88" s="55"/>
      <c r="BD88" s="55"/>
      <c r="BE88" s="55"/>
      <c r="BF88" s="55"/>
      <c r="BG88" s="55"/>
      <c r="BH88" s="55">
        <f>AX88-AM88</f>
        <v>-120</v>
      </c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s="2" customFormat="1" ht="19.5" customHeight="1">
      <c r="A89" s="114" t="s">
        <v>109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</row>
    <row r="90" spans="1:70" s="1" customFormat="1" ht="18.75" customHeight="1">
      <c r="A90" s="173">
        <v>3</v>
      </c>
      <c r="B90" s="173"/>
      <c r="C90" s="170"/>
      <c r="D90" s="171"/>
      <c r="E90" s="171"/>
      <c r="F90" s="171"/>
      <c r="G90" s="171"/>
      <c r="H90" s="172"/>
      <c r="I90" s="95" t="s">
        <v>41</v>
      </c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</row>
    <row r="91" spans="1:70" s="2" customFormat="1" ht="36.75" customHeight="1">
      <c r="A91" s="40" t="s">
        <v>44</v>
      </c>
      <c r="B91" s="41"/>
      <c r="C91" s="42"/>
      <c r="D91" s="42"/>
      <c r="E91" s="42"/>
      <c r="F91" s="42"/>
      <c r="G91" s="42"/>
      <c r="H91" s="42"/>
      <c r="I91" s="156" t="s">
        <v>107</v>
      </c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8"/>
      <c r="X91" s="144" t="s">
        <v>32</v>
      </c>
      <c r="Y91" s="144"/>
      <c r="Z91" s="144"/>
      <c r="AA91" s="145" t="s">
        <v>43</v>
      </c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16">
        <f>AM85/AM88</f>
        <v>500</v>
      </c>
      <c r="AN91" s="116"/>
      <c r="AO91" s="116"/>
      <c r="AP91" s="116"/>
      <c r="AQ91" s="116"/>
      <c r="AR91" s="116"/>
      <c r="AS91" s="116"/>
      <c r="AT91" s="116"/>
      <c r="AU91" s="116"/>
      <c r="AV91" s="116"/>
      <c r="AW91" s="117"/>
      <c r="AX91" s="115">
        <f>(AX85-48370-5770)/AX88</f>
        <v>425.6257142857139</v>
      </c>
      <c r="AY91" s="115"/>
      <c r="AZ91" s="115"/>
      <c r="BA91" s="115"/>
      <c r="BB91" s="115"/>
      <c r="BC91" s="115"/>
      <c r="BD91" s="115"/>
      <c r="BE91" s="115"/>
      <c r="BF91" s="115"/>
      <c r="BG91" s="115"/>
      <c r="BH91" s="31">
        <f>AX91-AM91</f>
        <v>-74.37428571428609</v>
      </c>
      <c r="BI91" s="31"/>
      <c r="BJ91" s="31"/>
      <c r="BK91" s="31"/>
      <c r="BL91" s="31"/>
      <c r="BM91" s="31"/>
      <c r="BN91" s="31"/>
      <c r="BO91" s="31"/>
      <c r="BP91" s="31"/>
      <c r="BQ91" s="31"/>
      <c r="BR91" s="31"/>
    </row>
    <row r="92" spans="1:70" s="2" customFormat="1" ht="21" customHeight="1" hidden="1">
      <c r="A92" s="28" t="s">
        <v>110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30"/>
    </row>
    <row r="93" spans="1:70" s="2" customFormat="1" ht="16.5" customHeight="1">
      <c r="A93" s="65"/>
      <c r="B93" s="66"/>
      <c r="C93" s="42"/>
      <c r="D93" s="42"/>
      <c r="E93" s="42"/>
      <c r="F93" s="42"/>
      <c r="G93" s="42"/>
      <c r="H93" s="42"/>
      <c r="I93" s="140" t="s">
        <v>86</v>
      </c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</row>
    <row r="94" spans="1:70" s="2" customFormat="1" ht="16.5" customHeight="1">
      <c r="A94" s="65"/>
      <c r="B94" s="66"/>
      <c r="C94" s="191"/>
      <c r="D94" s="192"/>
      <c r="E94" s="192"/>
      <c r="F94" s="192"/>
      <c r="G94" s="192"/>
      <c r="H94" s="193"/>
      <c r="I94" s="140" t="s">
        <v>87</v>
      </c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</row>
    <row r="95" spans="1:70" s="2" customFormat="1" ht="16.5" customHeight="1">
      <c r="A95" s="65"/>
      <c r="B95" s="66"/>
      <c r="C95" s="191"/>
      <c r="D95" s="192"/>
      <c r="E95" s="192"/>
      <c r="F95" s="192"/>
      <c r="G95" s="192"/>
      <c r="H95" s="193"/>
      <c r="I95" s="140" t="s">
        <v>111</v>
      </c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</row>
    <row r="96" spans="1:70" s="1" customFormat="1" ht="15" customHeight="1">
      <c r="A96" s="32">
        <v>1</v>
      </c>
      <c r="B96" s="32"/>
      <c r="C96" s="33"/>
      <c r="D96" s="34"/>
      <c r="E96" s="34"/>
      <c r="F96" s="34"/>
      <c r="G96" s="34"/>
      <c r="H96" s="35"/>
      <c r="I96" s="95" t="s">
        <v>50</v>
      </c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</row>
    <row r="97" spans="1:70" s="1" customFormat="1" ht="39" customHeight="1">
      <c r="A97" s="40" t="s">
        <v>44</v>
      </c>
      <c r="B97" s="41"/>
      <c r="C97" s="118"/>
      <c r="D97" s="118"/>
      <c r="E97" s="118"/>
      <c r="F97" s="118"/>
      <c r="G97" s="118"/>
      <c r="H97" s="118"/>
      <c r="I97" s="210" t="s">
        <v>128</v>
      </c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2"/>
      <c r="X97" s="204" t="s">
        <v>32</v>
      </c>
      <c r="Y97" s="204"/>
      <c r="Z97" s="204"/>
      <c r="AA97" s="205" t="s">
        <v>101</v>
      </c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7">
        <f>190000+90000+1086000+229000-179130</f>
        <v>1415870</v>
      </c>
      <c r="AN97" s="207"/>
      <c r="AO97" s="207"/>
      <c r="AP97" s="207"/>
      <c r="AQ97" s="207"/>
      <c r="AR97" s="207"/>
      <c r="AS97" s="207"/>
      <c r="AT97" s="207"/>
      <c r="AU97" s="207"/>
      <c r="AV97" s="207"/>
      <c r="AW97" s="208"/>
      <c r="AX97" s="209">
        <f>755652.44+304982</f>
        <v>1060634.44</v>
      </c>
      <c r="AY97" s="209"/>
      <c r="AZ97" s="209"/>
      <c r="BA97" s="209"/>
      <c r="BB97" s="209"/>
      <c r="BC97" s="209"/>
      <c r="BD97" s="209"/>
      <c r="BE97" s="209"/>
      <c r="BF97" s="209"/>
      <c r="BG97" s="209"/>
      <c r="BH97" s="55">
        <f>AX97-AM97</f>
        <v>-355235.56000000006</v>
      </c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s="2" customFormat="1" ht="23.25" customHeight="1">
      <c r="A98" s="114" t="s">
        <v>127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</row>
    <row r="99" spans="1:70" s="1" customFormat="1" ht="20.25" customHeight="1">
      <c r="A99" s="173">
        <v>2</v>
      </c>
      <c r="B99" s="173"/>
      <c r="C99" s="174"/>
      <c r="D99" s="174"/>
      <c r="E99" s="174"/>
      <c r="F99" s="174"/>
      <c r="G99" s="174"/>
      <c r="H99" s="174"/>
      <c r="I99" s="44" t="s">
        <v>40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</row>
    <row r="100" spans="1:70" s="2" customFormat="1" ht="69.75" customHeight="1">
      <c r="A100" s="40" t="s">
        <v>44</v>
      </c>
      <c r="B100" s="41"/>
      <c r="C100" s="118"/>
      <c r="D100" s="118"/>
      <c r="E100" s="118"/>
      <c r="F100" s="118"/>
      <c r="G100" s="118"/>
      <c r="H100" s="118"/>
      <c r="I100" s="67" t="s">
        <v>112</v>
      </c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9"/>
      <c r="X100" s="70" t="s">
        <v>27</v>
      </c>
      <c r="Y100" s="70"/>
      <c r="Z100" s="70"/>
      <c r="AA100" s="71" t="s">
        <v>106</v>
      </c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2">
        <v>283</v>
      </c>
      <c r="AN100" s="72"/>
      <c r="AO100" s="72"/>
      <c r="AP100" s="72"/>
      <c r="AQ100" s="72"/>
      <c r="AR100" s="72"/>
      <c r="AS100" s="72"/>
      <c r="AT100" s="72"/>
      <c r="AU100" s="72"/>
      <c r="AV100" s="72"/>
      <c r="AW100" s="73"/>
      <c r="AX100" s="55">
        <f>124</f>
        <v>124</v>
      </c>
      <c r="AY100" s="55"/>
      <c r="AZ100" s="55"/>
      <c r="BA100" s="55"/>
      <c r="BB100" s="55"/>
      <c r="BC100" s="55"/>
      <c r="BD100" s="55"/>
      <c r="BE100" s="55"/>
      <c r="BF100" s="55"/>
      <c r="BG100" s="55"/>
      <c r="BH100" s="55">
        <f>AX100-AM100</f>
        <v>-159</v>
      </c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s="2" customFormat="1" ht="22.5" customHeight="1">
      <c r="A101" s="114" t="s">
        <v>129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</row>
    <row r="102" spans="1:70" s="1" customFormat="1" ht="18.75" customHeight="1">
      <c r="A102" s="173">
        <v>3</v>
      </c>
      <c r="B102" s="173"/>
      <c r="C102" s="170"/>
      <c r="D102" s="171"/>
      <c r="E102" s="171"/>
      <c r="F102" s="171"/>
      <c r="G102" s="171"/>
      <c r="H102" s="172"/>
      <c r="I102" s="44" t="s">
        <v>41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</row>
    <row r="103" spans="1:70" s="2" customFormat="1" ht="36.75" customHeight="1">
      <c r="A103" s="40" t="s">
        <v>44</v>
      </c>
      <c r="B103" s="41"/>
      <c r="C103" s="42"/>
      <c r="D103" s="42"/>
      <c r="E103" s="42"/>
      <c r="F103" s="42"/>
      <c r="G103" s="42"/>
      <c r="H103" s="42"/>
      <c r="I103" s="28" t="s">
        <v>113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30"/>
      <c r="X103" s="43" t="s">
        <v>32</v>
      </c>
      <c r="Y103" s="43"/>
      <c r="Z103" s="43"/>
      <c r="AA103" s="39" t="s">
        <v>43</v>
      </c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7">
        <f>AM97/AM100</f>
        <v>5003.074204946996</v>
      </c>
      <c r="AN103" s="37"/>
      <c r="AO103" s="37"/>
      <c r="AP103" s="37"/>
      <c r="AQ103" s="37"/>
      <c r="AR103" s="37"/>
      <c r="AS103" s="37"/>
      <c r="AT103" s="37"/>
      <c r="AU103" s="37"/>
      <c r="AV103" s="37"/>
      <c r="AW103" s="38"/>
      <c r="AX103" s="31">
        <f>(AX97-778771.44)/AX100</f>
        <v>2273.0887096774195</v>
      </c>
      <c r="AY103" s="31"/>
      <c r="AZ103" s="31"/>
      <c r="BA103" s="31"/>
      <c r="BB103" s="31"/>
      <c r="BC103" s="31"/>
      <c r="BD103" s="31"/>
      <c r="BE103" s="31"/>
      <c r="BF103" s="31"/>
      <c r="BG103" s="31"/>
      <c r="BH103" s="31">
        <f>AX103-AM103</f>
        <v>-2729.985495269577</v>
      </c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</row>
    <row r="104" spans="1:70" s="2" customFormat="1" ht="33" customHeight="1" hidden="1">
      <c r="A104" s="65"/>
      <c r="B104" s="66"/>
      <c r="C104" s="42"/>
      <c r="D104" s="42"/>
      <c r="E104" s="42"/>
      <c r="F104" s="42"/>
      <c r="G104" s="42"/>
      <c r="H104" s="42"/>
      <c r="I104" s="67" t="s">
        <v>130</v>
      </c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</row>
    <row r="105" spans="1:70" s="9" customFormat="1" ht="16.5" customHeight="1">
      <c r="A105" s="99"/>
      <c r="B105" s="100"/>
      <c r="C105" s="109"/>
      <c r="D105" s="110"/>
      <c r="E105" s="110"/>
      <c r="F105" s="110"/>
      <c r="G105" s="110"/>
      <c r="H105" s="111"/>
      <c r="I105" s="140" t="s">
        <v>88</v>
      </c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</row>
    <row r="106" spans="1:70" s="9" customFormat="1" ht="16.5" customHeight="1">
      <c r="A106" s="99"/>
      <c r="B106" s="100"/>
      <c r="C106" s="109"/>
      <c r="D106" s="110"/>
      <c r="E106" s="110"/>
      <c r="F106" s="110"/>
      <c r="G106" s="110"/>
      <c r="H106" s="111"/>
      <c r="I106" s="140" t="s">
        <v>118</v>
      </c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</row>
    <row r="107" spans="1:70" s="9" customFormat="1" ht="16.5" customHeight="1">
      <c r="A107" s="99"/>
      <c r="B107" s="100"/>
      <c r="C107" s="109"/>
      <c r="D107" s="110"/>
      <c r="E107" s="110"/>
      <c r="F107" s="110"/>
      <c r="G107" s="110"/>
      <c r="H107" s="111"/>
      <c r="I107" s="140" t="s">
        <v>119</v>
      </c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</row>
    <row r="108" spans="1:70" s="1" customFormat="1" ht="15" customHeight="1">
      <c r="A108" s="32">
        <v>1</v>
      </c>
      <c r="B108" s="32"/>
      <c r="C108" s="33"/>
      <c r="D108" s="34"/>
      <c r="E108" s="34"/>
      <c r="F108" s="34"/>
      <c r="G108" s="34"/>
      <c r="H108" s="35"/>
      <c r="I108" s="141" t="s">
        <v>50</v>
      </c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</row>
    <row r="109" spans="1:70" s="1" customFormat="1" ht="26.25" customHeight="1">
      <c r="A109" s="40" t="s">
        <v>44</v>
      </c>
      <c r="B109" s="41"/>
      <c r="C109" s="118"/>
      <c r="D109" s="118"/>
      <c r="E109" s="118"/>
      <c r="F109" s="118"/>
      <c r="G109" s="118"/>
      <c r="H109" s="118"/>
      <c r="I109" s="67" t="s">
        <v>7</v>
      </c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9"/>
      <c r="X109" s="70" t="s">
        <v>32</v>
      </c>
      <c r="Y109" s="70"/>
      <c r="Z109" s="70"/>
      <c r="AA109" s="71" t="s">
        <v>101</v>
      </c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2">
        <v>26200</v>
      </c>
      <c r="AN109" s="72"/>
      <c r="AO109" s="72"/>
      <c r="AP109" s="72"/>
      <c r="AQ109" s="72"/>
      <c r="AR109" s="72"/>
      <c r="AS109" s="72"/>
      <c r="AT109" s="72"/>
      <c r="AU109" s="72"/>
      <c r="AV109" s="72"/>
      <c r="AW109" s="73"/>
      <c r="AX109" s="55">
        <f>14038.26</f>
        <v>14038.26</v>
      </c>
      <c r="AY109" s="55"/>
      <c r="AZ109" s="55"/>
      <c r="BA109" s="55"/>
      <c r="BB109" s="55"/>
      <c r="BC109" s="55"/>
      <c r="BD109" s="55"/>
      <c r="BE109" s="55"/>
      <c r="BF109" s="55"/>
      <c r="BG109" s="55"/>
      <c r="BH109" s="55">
        <f>AX109-AM109</f>
        <v>-12161.74</v>
      </c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s="2" customFormat="1" ht="24" customHeight="1">
      <c r="A110" s="114" t="s">
        <v>355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</row>
    <row r="111" spans="1:70" s="1" customFormat="1" ht="20.25" customHeight="1">
      <c r="A111" s="173">
        <v>2</v>
      </c>
      <c r="B111" s="173"/>
      <c r="C111" s="174"/>
      <c r="D111" s="174"/>
      <c r="E111" s="174"/>
      <c r="F111" s="174"/>
      <c r="G111" s="174"/>
      <c r="H111" s="174"/>
      <c r="I111" s="44" t="s">
        <v>40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</row>
    <row r="112" spans="1:70" s="2" customFormat="1" ht="54.75" customHeight="1">
      <c r="A112" s="40" t="s">
        <v>44</v>
      </c>
      <c r="B112" s="41"/>
      <c r="C112" s="42"/>
      <c r="D112" s="42"/>
      <c r="E112" s="42"/>
      <c r="F112" s="42"/>
      <c r="G112" s="42"/>
      <c r="H112" s="42"/>
      <c r="I112" s="28" t="s">
        <v>121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30"/>
      <c r="X112" s="43" t="s">
        <v>123</v>
      </c>
      <c r="Y112" s="43"/>
      <c r="Z112" s="43"/>
      <c r="AA112" s="49" t="s">
        <v>106</v>
      </c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1"/>
      <c r="AM112" s="37">
        <v>52</v>
      </c>
      <c r="AN112" s="37"/>
      <c r="AO112" s="37"/>
      <c r="AP112" s="37"/>
      <c r="AQ112" s="37"/>
      <c r="AR112" s="37"/>
      <c r="AS112" s="37"/>
      <c r="AT112" s="37"/>
      <c r="AU112" s="37"/>
      <c r="AV112" s="37"/>
      <c r="AW112" s="38"/>
      <c r="AX112" s="31">
        <v>52</v>
      </c>
      <c r="AY112" s="31"/>
      <c r="AZ112" s="31"/>
      <c r="BA112" s="31"/>
      <c r="BB112" s="31"/>
      <c r="BC112" s="31"/>
      <c r="BD112" s="31"/>
      <c r="BE112" s="31"/>
      <c r="BF112" s="31"/>
      <c r="BG112" s="31"/>
      <c r="BH112" s="31">
        <v>0</v>
      </c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</row>
    <row r="113" spans="1:70" s="2" customFormat="1" ht="30" customHeight="1">
      <c r="A113" s="40" t="s">
        <v>44</v>
      </c>
      <c r="B113" s="41"/>
      <c r="C113" s="42"/>
      <c r="D113" s="42"/>
      <c r="E113" s="42"/>
      <c r="F113" s="42"/>
      <c r="G113" s="42"/>
      <c r="H113" s="42"/>
      <c r="I113" s="28" t="s">
        <v>122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30"/>
      <c r="X113" s="43" t="s">
        <v>27</v>
      </c>
      <c r="Y113" s="43"/>
      <c r="Z113" s="43"/>
      <c r="AA113" s="52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4"/>
      <c r="AM113" s="37">
        <v>9</v>
      </c>
      <c r="AN113" s="37"/>
      <c r="AO113" s="37"/>
      <c r="AP113" s="37"/>
      <c r="AQ113" s="37"/>
      <c r="AR113" s="37"/>
      <c r="AS113" s="37"/>
      <c r="AT113" s="37"/>
      <c r="AU113" s="37"/>
      <c r="AV113" s="37"/>
      <c r="AW113" s="38"/>
      <c r="AX113" s="31">
        <v>9</v>
      </c>
      <c r="AY113" s="31"/>
      <c r="AZ113" s="31"/>
      <c r="BA113" s="31"/>
      <c r="BB113" s="31"/>
      <c r="BC113" s="31"/>
      <c r="BD113" s="31"/>
      <c r="BE113" s="31"/>
      <c r="BF113" s="31"/>
      <c r="BG113" s="31"/>
      <c r="BH113" s="31">
        <f>AX113-AM113</f>
        <v>0</v>
      </c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</row>
    <row r="114" spans="1:69" s="2" customFormat="1" ht="21" customHeight="1">
      <c r="A114" s="89" t="s">
        <v>394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20"/>
    </row>
    <row r="115" spans="1:70" s="1" customFormat="1" ht="18.75" customHeight="1">
      <c r="A115" s="32">
        <v>3</v>
      </c>
      <c r="B115" s="32"/>
      <c r="C115" s="33"/>
      <c r="D115" s="34"/>
      <c r="E115" s="34"/>
      <c r="F115" s="34"/>
      <c r="G115" s="34"/>
      <c r="H115" s="35"/>
      <c r="I115" s="44" t="s">
        <v>41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</row>
    <row r="116" spans="1:70" s="2" customFormat="1" ht="33.75" customHeight="1">
      <c r="A116" s="40" t="s">
        <v>44</v>
      </c>
      <c r="B116" s="41"/>
      <c r="C116" s="42"/>
      <c r="D116" s="42"/>
      <c r="E116" s="42"/>
      <c r="F116" s="42"/>
      <c r="G116" s="42"/>
      <c r="H116" s="42"/>
      <c r="I116" s="28" t="s">
        <v>124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30"/>
      <c r="X116" s="43" t="s">
        <v>32</v>
      </c>
      <c r="Y116" s="43"/>
      <c r="Z116" s="43"/>
      <c r="AA116" s="39" t="s">
        <v>43</v>
      </c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112" t="s">
        <v>125</v>
      </c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3"/>
      <c r="AX116" s="31">
        <f>AX109/AX112</f>
        <v>269.96653846153845</v>
      </c>
      <c r="AY116" s="31"/>
      <c r="AZ116" s="31"/>
      <c r="BA116" s="31"/>
      <c r="BB116" s="31"/>
      <c r="BC116" s="31"/>
      <c r="BD116" s="31"/>
      <c r="BE116" s="31"/>
      <c r="BF116" s="31"/>
      <c r="BG116" s="31"/>
      <c r="BH116" s="31">
        <f>AX116-AM116</f>
        <v>-234.03346153846155</v>
      </c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</row>
    <row r="117" spans="1:70" s="2" customFormat="1" ht="24.75" customHeight="1">
      <c r="A117" s="67" t="s">
        <v>126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</row>
    <row r="118" spans="1:70" s="2" customFormat="1" ht="21" customHeight="1">
      <c r="A118" s="65"/>
      <c r="B118" s="66"/>
      <c r="C118" s="42"/>
      <c r="D118" s="42"/>
      <c r="E118" s="42"/>
      <c r="F118" s="42"/>
      <c r="G118" s="42"/>
      <c r="H118" s="42"/>
      <c r="I118" s="140" t="s">
        <v>114</v>
      </c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</row>
    <row r="119" spans="1:70" s="1" customFormat="1" ht="18" customHeight="1">
      <c r="A119" s="32">
        <v>1</v>
      </c>
      <c r="B119" s="32"/>
      <c r="C119" s="33"/>
      <c r="D119" s="34"/>
      <c r="E119" s="34"/>
      <c r="F119" s="34"/>
      <c r="G119" s="34"/>
      <c r="H119" s="35"/>
      <c r="I119" s="95" t="s">
        <v>50</v>
      </c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</row>
    <row r="120" spans="1:70" s="1" customFormat="1" ht="24.75" customHeight="1">
      <c r="A120" s="40" t="s">
        <v>44</v>
      </c>
      <c r="B120" s="41"/>
      <c r="C120" s="42"/>
      <c r="D120" s="42"/>
      <c r="E120" s="42"/>
      <c r="F120" s="42"/>
      <c r="G120" s="42"/>
      <c r="H120" s="42"/>
      <c r="I120" s="175" t="s">
        <v>70</v>
      </c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43" t="s">
        <v>32</v>
      </c>
      <c r="Y120" s="43"/>
      <c r="Z120" s="43"/>
      <c r="AA120" s="39" t="s">
        <v>101</v>
      </c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1">
        <v>85000</v>
      </c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>
        <f>35000+49980</f>
        <v>84980</v>
      </c>
      <c r="AY120" s="31"/>
      <c r="AZ120" s="31"/>
      <c r="BA120" s="31"/>
      <c r="BB120" s="31"/>
      <c r="BC120" s="31"/>
      <c r="BD120" s="31"/>
      <c r="BE120" s="31"/>
      <c r="BF120" s="31"/>
      <c r="BG120" s="31"/>
      <c r="BH120" s="31">
        <f>AX120-AM120</f>
        <v>-20</v>
      </c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</row>
    <row r="121" spans="1:70" s="2" customFormat="1" ht="26.25" customHeight="1">
      <c r="A121" s="230" t="s">
        <v>115</v>
      </c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</row>
    <row r="122" spans="1:70" s="1" customFormat="1" ht="17.25" customHeight="1">
      <c r="A122" s="32">
        <v>2</v>
      </c>
      <c r="B122" s="32"/>
      <c r="C122" s="92"/>
      <c r="D122" s="92"/>
      <c r="E122" s="92"/>
      <c r="F122" s="92"/>
      <c r="G122" s="92"/>
      <c r="H122" s="92"/>
      <c r="I122" s="93" t="s">
        <v>40</v>
      </c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4"/>
      <c r="BR122" s="21"/>
    </row>
    <row r="123" spans="1:70" s="2" customFormat="1" ht="73.5" customHeight="1">
      <c r="A123" s="40" t="s">
        <v>44</v>
      </c>
      <c r="B123" s="41"/>
      <c r="C123" s="42"/>
      <c r="D123" s="42"/>
      <c r="E123" s="42"/>
      <c r="F123" s="42"/>
      <c r="G123" s="42"/>
      <c r="H123" s="42"/>
      <c r="I123" s="28" t="s">
        <v>22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30"/>
      <c r="X123" s="43" t="s">
        <v>32</v>
      </c>
      <c r="Y123" s="43"/>
      <c r="Z123" s="43"/>
      <c r="AA123" s="39" t="s">
        <v>106</v>
      </c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7">
        <v>5</v>
      </c>
      <c r="AN123" s="37"/>
      <c r="AO123" s="37"/>
      <c r="AP123" s="37"/>
      <c r="AQ123" s="37"/>
      <c r="AR123" s="37"/>
      <c r="AS123" s="37"/>
      <c r="AT123" s="37"/>
      <c r="AU123" s="37"/>
      <c r="AV123" s="37"/>
      <c r="AW123" s="38"/>
      <c r="AX123" s="31">
        <v>8</v>
      </c>
      <c r="AY123" s="31"/>
      <c r="AZ123" s="31"/>
      <c r="BA123" s="31"/>
      <c r="BB123" s="31"/>
      <c r="BC123" s="31"/>
      <c r="BD123" s="31"/>
      <c r="BE123" s="31"/>
      <c r="BF123" s="31"/>
      <c r="BG123" s="31"/>
      <c r="BH123" s="102">
        <f>AX123-AM123</f>
        <v>3</v>
      </c>
      <c r="BI123" s="37"/>
      <c r="BJ123" s="37"/>
      <c r="BK123" s="37"/>
      <c r="BL123" s="37"/>
      <c r="BM123" s="37"/>
      <c r="BN123" s="37"/>
      <c r="BO123" s="37"/>
      <c r="BP123" s="37"/>
      <c r="BQ123" s="37"/>
      <c r="BR123" s="38"/>
    </row>
    <row r="124" spans="1:70" s="2" customFormat="1" ht="23.25" customHeight="1">
      <c r="A124" s="89" t="s">
        <v>116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1"/>
      <c r="BR124" s="11"/>
    </row>
    <row r="125" spans="1:70" s="1" customFormat="1" ht="12" customHeight="1">
      <c r="A125" s="32">
        <v>3</v>
      </c>
      <c r="B125" s="32"/>
      <c r="C125" s="33"/>
      <c r="D125" s="34"/>
      <c r="E125" s="34"/>
      <c r="F125" s="34"/>
      <c r="G125" s="34"/>
      <c r="H125" s="35"/>
      <c r="I125" s="95" t="s">
        <v>41</v>
      </c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21"/>
    </row>
    <row r="126" spans="1:70" s="2" customFormat="1" ht="34.5" customHeight="1">
      <c r="A126" s="40" t="s">
        <v>44</v>
      </c>
      <c r="B126" s="41"/>
      <c r="C126" s="42"/>
      <c r="D126" s="42"/>
      <c r="E126" s="42"/>
      <c r="F126" s="42"/>
      <c r="G126" s="42"/>
      <c r="H126" s="42"/>
      <c r="I126" s="28" t="s">
        <v>18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30"/>
      <c r="X126" s="43" t="s">
        <v>32</v>
      </c>
      <c r="Y126" s="43"/>
      <c r="Z126" s="43"/>
      <c r="AA126" s="39" t="s">
        <v>43</v>
      </c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7">
        <f>AM120/AM123</f>
        <v>17000</v>
      </c>
      <c r="AN126" s="37"/>
      <c r="AO126" s="37"/>
      <c r="AP126" s="37"/>
      <c r="AQ126" s="37"/>
      <c r="AR126" s="37"/>
      <c r="AS126" s="37"/>
      <c r="AT126" s="37"/>
      <c r="AU126" s="37"/>
      <c r="AV126" s="37"/>
      <c r="AW126" s="38"/>
      <c r="AX126" s="31">
        <f>AX120/AX123</f>
        <v>10622.5</v>
      </c>
      <c r="AY126" s="31"/>
      <c r="AZ126" s="31"/>
      <c r="BA126" s="31"/>
      <c r="BB126" s="31"/>
      <c r="BC126" s="31"/>
      <c r="BD126" s="31"/>
      <c r="BE126" s="31"/>
      <c r="BF126" s="31"/>
      <c r="BG126" s="31"/>
      <c r="BH126" s="102">
        <f>AX126-AM126</f>
        <v>-6377.5</v>
      </c>
      <c r="BI126" s="37"/>
      <c r="BJ126" s="37"/>
      <c r="BK126" s="37"/>
      <c r="BL126" s="37"/>
      <c r="BM126" s="37"/>
      <c r="BN126" s="37"/>
      <c r="BO126" s="37"/>
      <c r="BP126" s="37"/>
      <c r="BQ126" s="37"/>
      <c r="BR126" s="38"/>
    </row>
    <row r="127" spans="1:70" s="2" customFormat="1" ht="26.25" customHeight="1">
      <c r="A127" s="89" t="s">
        <v>117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1"/>
      <c r="BR127" s="11"/>
    </row>
    <row r="128" spans="1:70" s="2" customFormat="1" ht="16.5" customHeight="1">
      <c r="A128" s="65"/>
      <c r="B128" s="66"/>
      <c r="C128" s="42"/>
      <c r="D128" s="42"/>
      <c r="E128" s="42"/>
      <c r="F128" s="42"/>
      <c r="G128" s="42"/>
      <c r="H128" s="42"/>
      <c r="I128" s="81" t="s">
        <v>120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3"/>
      <c r="BR128" s="11"/>
    </row>
    <row r="129" spans="1:70" s="1" customFormat="1" ht="14.25" customHeight="1">
      <c r="A129" s="32">
        <v>1</v>
      </c>
      <c r="B129" s="32"/>
      <c r="C129" s="33"/>
      <c r="D129" s="34"/>
      <c r="E129" s="34"/>
      <c r="F129" s="34"/>
      <c r="G129" s="34"/>
      <c r="H129" s="35"/>
      <c r="I129" s="95" t="s">
        <v>50</v>
      </c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21"/>
    </row>
    <row r="130" spans="1:70" s="1" customFormat="1" ht="30.75" customHeight="1">
      <c r="A130" s="40" t="s">
        <v>44</v>
      </c>
      <c r="B130" s="41"/>
      <c r="C130" s="42"/>
      <c r="D130" s="42"/>
      <c r="E130" s="42"/>
      <c r="F130" s="42"/>
      <c r="G130" s="42"/>
      <c r="H130" s="42"/>
      <c r="I130" s="28" t="s">
        <v>7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30"/>
      <c r="X130" s="43" t="s">
        <v>32</v>
      </c>
      <c r="Y130" s="43"/>
      <c r="Z130" s="43"/>
      <c r="AA130" s="39" t="s">
        <v>101</v>
      </c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7">
        <f>101800</f>
        <v>101800</v>
      </c>
      <c r="AN130" s="37"/>
      <c r="AO130" s="37"/>
      <c r="AP130" s="37"/>
      <c r="AQ130" s="37"/>
      <c r="AR130" s="37"/>
      <c r="AS130" s="37"/>
      <c r="AT130" s="37"/>
      <c r="AU130" s="37"/>
      <c r="AV130" s="37"/>
      <c r="AW130" s="38"/>
      <c r="AX130" s="31">
        <f>98590.32</f>
        <v>98590.32</v>
      </c>
      <c r="AY130" s="31"/>
      <c r="AZ130" s="31"/>
      <c r="BA130" s="31"/>
      <c r="BB130" s="31"/>
      <c r="BC130" s="31"/>
      <c r="BD130" s="31"/>
      <c r="BE130" s="31"/>
      <c r="BF130" s="31"/>
      <c r="BG130" s="31"/>
      <c r="BH130" s="102">
        <f>AX130-AM130</f>
        <v>-3209.679999999993</v>
      </c>
      <c r="BI130" s="37"/>
      <c r="BJ130" s="37"/>
      <c r="BK130" s="37"/>
      <c r="BL130" s="37"/>
      <c r="BM130" s="37"/>
      <c r="BN130" s="37"/>
      <c r="BO130" s="37"/>
      <c r="BP130" s="37"/>
      <c r="BQ130" s="37"/>
      <c r="BR130" s="38"/>
    </row>
    <row r="131" spans="1:70" s="2" customFormat="1" ht="57" customHeight="1">
      <c r="A131" s="89" t="s">
        <v>135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1"/>
      <c r="BR131" s="11"/>
    </row>
    <row r="132" spans="1:70" s="1" customFormat="1" ht="20.25" customHeight="1">
      <c r="A132" s="32">
        <v>2</v>
      </c>
      <c r="B132" s="32"/>
      <c r="C132" s="92"/>
      <c r="D132" s="92"/>
      <c r="E132" s="92"/>
      <c r="F132" s="92"/>
      <c r="G132" s="92"/>
      <c r="H132" s="92"/>
      <c r="I132" s="93" t="s">
        <v>40</v>
      </c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4"/>
      <c r="BR132" s="21"/>
    </row>
    <row r="133" spans="1:70" s="2" customFormat="1" ht="31.5" customHeight="1">
      <c r="A133" s="40" t="s">
        <v>44</v>
      </c>
      <c r="B133" s="41"/>
      <c r="C133" s="42"/>
      <c r="D133" s="42"/>
      <c r="E133" s="42"/>
      <c r="F133" s="42"/>
      <c r="G133" s="42"/>
      <c r="H133" s="42"/>
      <c r="I133" s="28" t="s">
        <v>22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30"/>
      <c r="X133" s="43" t="s">
        <v>32</v>
      </c>
      <c r="Y133" s="43"/>
      <c r="Z133" s="43"/>
      <c r="AA133" s="49" t="s">
        <v>106</v>
      </c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1"/>
      <c r="AM133" s="37">
        <v>17</v>
      </c>
      <c r="AN133" s="37"/>
      <c r="AO133" s="37"/>
      <c r="AP133" s="37"/>
      <c r="AQ133" s="37"/>
      <c r="AR133" s="37"/>
      <c r="AS133" s="37"/>
      <c r="AT133" s="37"/>
      <c r="AU133" s="37"/>
      <c r="AV133" s="37"/>
      <c r="AW133" s="38"/>
      <c r="AX133" s="31">
        <f>9+7+4</f>
        <v>20</v>
      </c>
      <c r="AY133" s="31"/>
      <c r="AZ133" s="31"/>
      <c r="BA133" s="31"/>
      <c r="BB133" s="31"/>
      <c r="BC133" s="31"/>
      <c r="BD133" s="31"/>
      <c r="BE133" s="31"/>
      <c r="BF133" s="31"/>
      <c r="BG133" s="31"/>
      <c r="BH133" s="102">
        <f>AX133-AM133</f>
        <v>3</v>
      </c>
      <c r="BI133" s="37"/>
      <c r="BJ133" s="37"/>
      <c r="BK133" s="37"/>
      <c r="BL133" s="37"/>
      <c r="BM133" s="37"/>
      <c r="BN133" s="37"/>
      <c r="BO133" s="37"/>
      <c r="BP133" s="37"/>
      <c r="BQ133" s="37"/>
      <c r="BR133" s="38"/>
    </row>
    <row r="134" spans="1:70" s="2" customFormat="1" ht="40.5" customHeight="1">
      <c r="A134" s="40" t="s">
        <v>45</v>
      </c>
      <c r="B134" s="41"/>
      <c r="C134" s="42"/>
      <c r="D134" s="42"/>
      <c r="E134" s="42"/>
      <c r="F134" s="42"/>
      <c r="G134" s="42"/>
      <c r="H134" s="42"/>
      <c r="I134" s="28" t="s">
        <v>131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30"/>
      <c r="X134" s="43" t="s">
        <v>132</v>
      </c>
      <c r="Y134" s="43"/>
      <c r="Z134" s="43"/>
      <c r="AA134" s="52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4"/>
      <c r="AM134" s="37">
        <v>12</v>
      </c>
      <c r="AN134" s="37"/>
      <c r="AO134" s="37"/>
      <c r="AP134" s="37"/>
      <c r="AQ134" s="37"/>
      <c r="AR134" s="37"/>
      <c r="AS134" s="37"/>
      <c r="AT134" s="37"/>
      <c r="AU134" s="37"/>
      <c r="AV134" s="37"/>
      <c r="AW134" s="38"/>
      <c r="AX134" s="31">
        <v>12</v>
      </c>
      <c r="AY134" s="31"/>
      <c r="AZ134" s="31"/>
      <c r="BA134" s="31"/>
      <c r="BB134" s="31"/>
      <c r="BC134" s="31"/>
      <c r="BD134" s="31"/>
      <c r="BE134" s="31"/>
      <c r="BF134" s="31"/>
      <c r="BG134" s="31"/>
      <c r="BH134" s="102">
        <f>AX134-AM134</f>
        <v>0</v>
      </c>
      <c r="BI134" s="37"/>
      <c r="BJ134" s="37"/>
      <c r="BK134" s="37"/>
      <c r="BL134" s="37"/>
      <c r="BM134" s="37"/>
      <c r="BN134" s="37"/>
      <c r="BO134" s="37"/>
      <c r="BP134" s="37"/>
      <c r="BQ134" s="37"/>
      <c r="BR134" s="38"/>
    </row>
    <row r="135" spans="1:70" s="2" customFormat="1" ht="32.25" customHeight="1">
      <c r="A135" s="89" t="s">
        <v>133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1"/>
      <c r="BR135" s="11"/>
    </row>
    <row r="136" spans="1:70" s="1" customFormat="1" ht="18.75" customHeight="1">
      <c r="A136" s="32">
        <v>3</v>
      </c>
      <c r="B136" s="32"/>
      <c r="C136" s="33"/>
      <c r="D136" s="34"/>
      <c r="E136" s="34"/>
      <c r="F136" s="34"/>
      <c r="G136" s="34"/>
      <c r="H136" s="35"/>
      <c r="I136" s="95" t="s">
        <v>41</v>
      </c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21"/>
    </row>
    <row r="137" spans="1:70" s="2" customFormat="1" ht="36.75" customHeight="1">
      <c r="A137" s="40" t="s">
        <v>44</v>
      </c>
      <c r="B137" s="41"/>
      <c r="C137" s="42"/>
      <c r="D137" s="42"/>
      <c r="E137" s="42"/>
      <c r="F137" s="42"/>
      <c r="G137" s="42"/>
      <c r="H137" s="42"/>
      <c r="I137" s="28" t="s">
        <v>19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30"/>
      <c r="X137" s="43" t="s">
        <v>32</v>
      </c>
      <c r="Y137" s="43"/>
      <c r="Z137" s="43"/>
      <c r="AA137" s="39" t="s">
        <v>43</v>
      </c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7">
        <f>AM130/AM133</f>
        <v>5988.235294117647</v>
      </c>
      <c r="AN137" s="37"/>
      <c r="AO137" s="37"/>
      <c r="AP137" s="37"/>
      <c r="AQ137" s="37"/>
      <c r="AR137" s="37"/>
      <c r="AS137" s="37"/>
      <c r="AT137" s="37"/>
      <c r="AU137" s="37"/>
      <c r="AV137" s="37"/>
      <c r="AW137" s="38"/>
      <c r="AX137" s="31">
        <f>AX130/AX133</f>
        <v>4929.5160000000005</v>
      </c>
      <c r="AY137" s="31"/>
      <c r="AZ137" s="31"/>
      <c r="BA137" s="31"/>
      <c r="BB137" s="31"/>
      <c r="BC137" s="31"/>
      <c r="BD137" s="31"/>
      <c r="BE137" s="31"/>
      <c r="BF137" s="31"/>
      <c r="BG137" s="31"/>
      <c r="BH137" s="102">
        <f>AX137-AM137</f>
        <v>-1058.7192941176463</v>
      </c>
      <c r="BI137" s="37"/>
      <c r="BJ137" s="37"/>
      <c r="BK137" s="37"/>
      <c r="BL137" s="37"/>
      <c r="BM137" s="37"/>
      <c r="BN137" s="37"/>
      <c r="BO137" s="37"/>
      <c r="BP137" s="37"/>
      <c r="BQ137" s="37"/>
      <c r="BR137" s="38"/>
    </row>
    <row r="138" spans="1:70" s="2" customFormat="1" ht="32.25" customHeight="1">
      <c r="A138" s="65"/>
      <c r="B138" s="66"/>
      <c r="C138" s="42"/>
      <c r="D138" s="42"/>
      <c r="E138" s="42"/>
      <c r="F138" s="42"/>
      <c r="G138" s="42"/>
      <c r="H138" s="42"/>
      <c r="I138" s="28" t="s">
        <v>134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30"/>
      <c r="BR138" s="11"/>
    </row>
    <row r="139" spans="1:70" s="2" customFormat="1" ht="16.5" customHeight="1">
      <c r="A139" s="65"/>
      <c r="B139" s="66"/>
      <c r="C139" s="42"/>
      <c r="D139" s="42"/>
      <c r="E139" s="42"/>
      <c r="F139" s="42"/>
      <c r="G139" s="42"/>
      <c r="H139" s="42"/>
      <c r="I139" s="81" t="s">
        <v>136</v>
      </c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3"/>
      <c r="BR139" s="11"/>
    </row>
    <row r="140" spans="1:70" s="2" customFormat="1" ht="16.5" customHeight="1">
      <c r="A140" s="65"/>
      <c r="B140" s="66"/>
      <c r="C140" s="42"/>
      <c r="D140" s="42"/>
      <c r="E140" s="42"/>
      <c r="F140" s="42"/>
      <c r="G140" s="42"/>
      <c r="H140" s="42"/>
      <c r="I140" s="81" t="s">
        <v>89</v>
      </c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3"/>
      <c r="BR140" s="11"/>
    </row>
    <row r="141" spans="1:70" s="2" customFormat="1" ht="16.5" customHeight="1">
      <c r="A141" s="65"/>
      <c r="B141" s="66"/>
      <c r="C141" s="42"/>
      <c r="D141" s="42"/>
      <c r="E141" s="42"/>
      <c r="F141" s="42"/>
      <c r="G141" s="42"/>
      <c r="H141" s="42"/>
      <c r="I141" s="81" t="s">
        <v>137</v>
      </c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3"/>
      <c r="BR141" s="11"/>
    </row>
    <row r="142" spans="1:70" s="1" customFormat="1" ht="16.5" customHeight="1">
      <c r="A142" s="32">
        <v>1</v>
      </c>
      <c r="B142" s="32"/>
      <c r="C142" s="33"/>
      <c r="D142" s="34"/>
      <c r="E142" s="34"/>
      <c r="F142" s="34"/>
      <c r="G142" s="34"/>
      <c r="H142" s="35"/>
      <c r="I142" s="95" t="s">
        <v>50</v>
      </c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21"/>
    </row>
    <row r="143" spans="1:70" s="1" customFormat="1" ht="21" customHeight="1">
      <c r="A143" s="40" t="s">
        <v>44</v>
      </c>
      <c r="B143" s="41"/>
      <c r="C143" s="42"/>
      <c r="D143" s="42"/>
      <c r="E143" s="42"/>
      <c r="F143" s="42"/>
      <c r="G143" s="42"/>
      <c r="H143" s="42"/>
      <c r="I143" s="28" t="s">
        <v>7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30"/>
      <c r="X143" s="43" t="s">
        <v>27</v>
      </c>
      <c r="Y143" s="43"/>
      <c r="Z143" s="43"/>
      <c r="AA143" s="39" t="s">
        <v>101</v>
      </c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7">
        <v>390000</v>
      </c>
      <c r="AN143" s="37"/>
      <c r="AO143" s="37"/>
      <c r="AP143" s="37"/>
      <c r="AQ143" s="37"/>
      <c r="AR143" s="37"/>
      <c r="AS143" s="37"/>
      <c r="AT143" s="37"/>
      <c r="AU143" s="37"/>
      <c r="AV143" s="37"/>
      <c r="AW143" s="38"/>
      <c r="AX143" s="31">
        <f>292369.23</f>
        <v>292369.23</v>
      </c>
      <c r="AY143" s="31"/>
      <c r="AZ143" s="31"/>
      <c r="BA143" s="31"/>
      <c r="BB143" s="31"/>
      <c r="BC143" s="31"/>
      <c r="BD143" s="31"/>
      <c r="BE143" s="31"/>
      <c r="BF143" s="31"/>
      <c r="BG143" s="31"/>
      <c r="BH143" s="102">
        <f>AX143-AM143</f>
        <v>-97630.77000000002</v>
      </c>
      <c r="BI143" s="37"/>
      <c r="BJ143" s="37"/>
      <c r="BK143" s="37"/>
      <c r="BL143" s="37"/>
      <c r="BM143" s="37"/>
      <c r="BN143" s="37"/>
      <c r="BO143" s="37"/>
      <c r="BP143" s="37"/>
      <c r="BQ143" s="37"/>
      <c r="BR143" s="38"/>
    </row>
    <row r="144" spans="1:70" s="2" customFormat="1" ht="24" customHeight="1">
      <c r="A144" s="65"/>
      <c r="B144" s="66"/>
      <c r="C144" s="42"/>
      <c r="D144" s="42"/>
      <c r="E144" s="42"/>
      <c r="F144" s="42"/>
      <c r="G144" s="42"/>
      <c r="H144" s="42"/>
      <c r="I144" s="28" t="s">
        <v>20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30"/>
      <c r="BR144" s="11"/>
    </row>
    <row r="145" spans="1:70" s="1" customFormat="1" ht="17.25" customHeight="1">
      <c r="A145" s="32">
        <v>2</v>
      </c>
      <c r="B145" s="32"/>
      <c r="C145" s="92"/>
      <c r="D145" s="92"/>
      <c r="E145" s="92"/>
      <c r="F145" s="92"/>
      <c r="G145" s="92"/>
      <c r="H145" s="92"/>
      <c r="I145" s="93" t="s">
        <v>40</v>
      </c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4"/>
      <c r="BR145" s="21"/>
    </row>
    <row r="146" spans="1:70" s="2" customFormat="1" ht="63" customHeight="1">
      <c r="A146" s="40" t="s">
        <v>44</v>
      </c>
      <c r="B146" s="41"/>
      <c r="C146" s="42"/>
      <c r="D146" s="42"/>
      <c r="E146" s="42"/>
      <c r="F146" s="42"/>
      <c r="G146" s="42"/>
      <c r="H146" s="42"/>
      <c r="I146" s="28" t="s">
        <v>138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30"/>
      <c r="X146" s="43" t="s">
        <v>27</v>
      </c>
      <c r="Y146" s="43"/>
      <c r="Z146" s="43"/>
      <c r="AA146" s="39" t="s">
        <v>106</v>
      </c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7">
        <v>1</v>
      </c>
      <c r="AN146" s="37"/>
      <c r="AO146" s="37"/>
      <c r="AP146" s="37"/>
      <c r="AQ146" s="37"/>
      <c r="AR146" s="37"/>
      <c r="AS146" s="37"/>
      <c r="AT146" s="37"/>
      <c r="AU146" s="37"/>
      <c r="AV146" s="37"/>
      <c r="AW146" s="38"/>
      <c r="AX146" s="31">
        <v>1</v>
      </c>
      <c r="AY146" s="31"/>
      <c r="AZ146" s="31"/>
      <c r="BA146" s="31"/>
      <c r="BB146" s="31"/>
      <c r="BC146" s="31"/>
      <c r="BD146" s="31"/>
      <c r="BE146" s="31"/>
      <c r="BF146" s="31"/>
      <c r="BG146" s="31"/>
      <c r="BH146" s="102">
        <v>0</v>
      </c>
      <c r="BI146" s="37"/>
      <c r="BJ146" s="37"/>
      <c r="BK146" s="37"/>
      <c r="BL146" s="37"/>
      <c r="BM146" s="37"/>
      <c r="BN146" s="37"/>
      <c r="BO146" s="37"/>
      <c r="BP146" s="37"/>
      <c r="BQ146" s="37"/>
      <c r="BR146" s="38"/>
    </row>
    <row r="147" spans="1:70" s="1" customFormat="1" ht="20.25" customHeight="1">
      <c r="A147" s="32">
        <v>3</v>
      </c>
      <c r="B147" s="32"/>
      <c r="C147" s="33"/>
      <c r="D147" s="34"/>
      <c r="E147" s="34"/>
      <c r="F147" s="34"/>
      <c r="G147" s="34"/>
      <c r="H147" s="35"/>
      <c r="I147" s="95" t="s">
        <v>41</v>
      </c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21"/>
    </row>
    <row r="148" spans="1:70" s="2" customFormat="1" ht="38.25" customHeight="1">
      <c r="A148" s="40" t="s">
        <v>44</v>
      </c>
      <c r="B148" s="41"/>
      <c r="C148" s="42"/>
      <c r="D148" s="42"/>
      <c r="E148" s="42"/>
      <c r="F148" s="42"/>
      <c r="G148" s="42"/>
      <c r="H148" s="42"/>
      <c r="I148" s="28" t="s">
        <v>139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30"/>
      <c r="X148" s="43" t="s">
        <v>32</v>
      </c>
      <c r="Y148" s="43"/>
      <c r="Z148" s="43"/>
      <c r="AA148" s="39" t="s">
        <v>43</v>
      </c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7">
        <f>AM143/AM146</f>
        <v>390000</v>
      </c>
      <c r="AN148" s="37"/>
      <c r="AO148" s="37"/>
      <c r="AP148" s="37"/>
      <c r="AQ148" s="37"/>
      <c r="AR148" s="37"/>
      <c r="AS148" s="37"/>
      <c r="AT148" s="37"/>
      <c r="AU148" s="37"/>
      <c r="AV148" s="37"/>
      <c r="AW148" s="38"/>
      <c r="AX148" s="31">
        <f>AX143/AX146</f>
        <v>292369.23</v>
      </c>
      <c r="AY148" s="31"/>
      <c r="AZ148" s="31"/>
      <c r="BA148" s="31"/>
      <c r="BB148" s="31"/>
      <c r="BC148" s="31"/>
      <c r="BD148" s="31"/>
      <c r="BE148" s="31"/>
      <c r="BF148" s="31"/>
      <c r="BG148" s="31"/>
      <c r="BH148" s="102">
        <f>AX148-AM148</f>
        <v>-97630.77000000002</v>
      </c>
      <c r="BI148" s="37"/>
      <c r="BJ148" s="37"/>
      <c r="BK148" s="37"/>
      <c r="BL148" s="37"/>
      <c r="BM148" s="37"/>
      <c r="BN148" s="37"/>
      <c r="BO148" s="37"/>
      <c r="BP148" s="37"/>
      <c r="BQ148" s="37"/>
      <c r="BR148" s="38"/>
    </row>
    <row r="149" spans="1:70" s="2" customFormat="1" ht="19.5" customHeight="1">
      <c r="A149" s="65"/>
      <c r="B149" s="66"/>
      <c r="C149" s="42"/>
      <c r="D149" s="42"/>
      <c r="E149" s="42"/>
      <c r="F149" s="42"/>
      <c r="G149" s="42"/>
      <c r="H149" s="42"/>
      <c r="I149" s="28" t="s">
        <v>20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30"/>
      <c r="BR149" s="11"/>
    </row>
    <row r="150" spans="1:70" s="2" customFormat="1" ht="16.5" customHeight="1">
      <c r="A150" s="65"/>
      <c r="B150" s="66"/>
      <c r="C150" s="42"/>
      <c r="D150" s="42"/>
      <c r="E150" s="42"/>
      <c r="F150" s="42"/>
      <c r="G150" s="42"/>
      <c r="H150" s="42"/>
      <c r="I150" s="81" t="s">
        <v>140</v>
      </c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3"/>
      <c r="BR150" s="11"/>
    </row>
    <row r="151" spans="1:70" ht="18" customHeight="1">
      <c r="A151" s="58">
        <v>1</v>
      </c>
      <c r="B151" s="58"/>
      <c r="C151" s="137"/>
      <c r="D151" s="138"/>
      <c r="E151" s="138"/>
      <c r="F151" s="138"/>
      <c r="G151" s="138"/>
      <c r="H151" s="139"/>
      <c r="I151" s="213" t="s">
        <v>50</v>
      </c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  <c r="BI151" s="213"/>
      <c r="BJ151" s="213"/>
      <c r="BK151" s="213"/>
      <c r="BL151" s="213"/>
      <c r="BM151" s="213"/>
      <c r="BN151" s="213"/>
      <c r="BO151" s="213"/>
      <c r="BP151" s="213"/>
      <c r="BQ151" s="213"/>
      <c r="BR151" s="20"/>
    </row>
    <row r="152" spans="1:70" s="1" customFormat="1" ht="63" customHeight="1">
      <c r="A152" s="40" t="s">
        <v>44</v>
      </c>
      <c r="B152" s="41"/>
      <c r="C152" s="42"/>
      <c r="D152" s="42"/>
      <c r="E152" s="42"/>
      <c r="F152" s="42"/>
      <c r="G152" s="42"/>
      <c r="H152" s="42"/>
      <c r="I152" s="28" t="s">
        <v>7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30"/>
      <c r="X152" s="43" t="s">
        <v>27</v>
      </c>
      <c r="Y152" s="43"/>
      <c r="Z152" s="43"/>
      <c r="AA152" s="39" t="s">
        <v>106</v>
      </c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7">
        <v>258000</v>
      </c>
      <c r="AN152" s="37"/>
      <c r="AO152" s="37"/>
      <c r="AP152" s="37"/>
      <c r="AQ152" s="37"/>
      <c r="AR152" s="37"/>
      <c r="AS152" s="37"/>
      <c r="AT152" s="37"/>
      <c r="AU152" s="37"/>
      <c r="AV152" s="37"/>
      <c r="AW152" s="38"/>
      <c r="AX152" s="31">
        <f>218531.96</f>
        <v>218531.96</v>
      </c>
      <c r="AY152" s="31"/>
      <c r="AZ152" s="31"/>
      <c r="BA152" s="31"/>
      <c r="BB152" s="31"/>
      <c r="BC152" s="31"/>
      <c r="BD152" s="31"/>
      <c r="BE152" s="31"/>
      <c r="BF152" s="31"/>
      <c r="BG152" s="31"/>
      <c r="BH152" s="102">
        <f>AX152-AM152</f>
        <v>-39468.04000000001</v>
      </c>
      <c r="BI152" s="37"/>
      <c r="BJ152" s="37"/>
      <c r="BK152" s="37"/>
      <c r="BL152" s="37"/>
      <c r="BM152" s="37"/>
      <c r="BN152" s="37"/>
      <c r="BO152" s="37"/>
      <c r="BP152" s="37"/>
      <c r="BQ152" s="37"/>
      <c r="BR152" s="38"/>
    </row>
    <row r="153" spans="1:70" s="2" customFormat="1" ht="24.75" customHeight="1">
      <c r="A153" s="89" t="s">
        <v>149</v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1"/>
      <c r="BR153" s="11"/>
    </row>
    <row r="154" spans="1:70" s="1" customFormat="1" ht="20.25" customHeight="1">
      <c r="A154" s="32">
        <v>2</v>
      </c>
      <c r="B154" s="32"/>
      <c r="C154" s="92"/>
      <c r="D154" s="92"/>
      <c r="E154" s="92"/>
      <c r="F154" s="92"/>
      <c r="G154" s="92"/>
      <c r="H154" s="92"/>
      <c r="I154" s="93" t="s">
        <v>40</v>
      </c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4"/>
      <c r="BR154" s="21"/>
    </row>
    <row r="155" spans="1:70" s="2" customFormat="1" ht="44.25" customHeight="1">
      <c r="A155" s="40" t="s">
        <v>44</v>
      </c>
      <c r="B155" s="41"/>
      <c r="C155" s="42"/>
      <c r="D155" s="42"/>
      <c r="E155" s="42"/>
      <c r="F155" s="42"/>
      <c r="G155" s="42"/>
      <c r="H155" s="42"/>
      <c r="I155" s="28" t="s">
        <v>141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30"/>
      <c r="X155" s="43" t="s">
        <v>27</v>
      </c>
      <c r="Y155" s="43"/>
      <c r="Z155" s="43"/>
      <c r="AA155" s="49" t="s">
        <v>106</v>
      </c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1"/>
      <c r="AM155" s="37">
        <v>42</v>
      </c>
      <c r="AN155" s="37"/>
      <c r="AO155" s="37"/>
      <c r="AP155" s="37"/>
      <c r="AQ155" s="37"/>
      <c r="AR155" s="37"/>
      <c r="AS155" s="37"/>
      <c r="AT155" s="37"/>
      <c r="AU155" s="37"/>
      <c r="AV155" s="37"/>
      <c r="AW155" s="38"/>
      <c r="AX155" s="31">
        <v>35</v>
      </c>
      <c r="AY155" s="31"/>
      <c r="AZ155" s="31"/>
      <c r="BA155" s="31"/>
      <c r="BB155" s="31"/>
      <c r="BC155" s="31"/>
      <c r="BD155" s="31"/>
      <c r="BE155" s="31"/>
      <c r="BF155" s="31"/>
      <c r="BG155" s="31"/>
      <c r="BH155" s="102">
        <f>AX155-AM155</f>
        <v>-7</v>
      </c>
      <c r="BI155" s="37"/>
      <c r="BJ155" s="37"/>
      <c r="BK155" s="37"/>
      <c r="BL155" s="37"/>
      <c r="BM155" s="37"/>
      <c r="BN155" s="37"/>
      <c r="BO155" s="37"/>
      <c r="BP155" s="37"/>
      <c r="BQ155" s="37"/>
      <c r="BR155" s="38"/>
    </row>
    <row r="156" spans="1:70" s="2" customFormat="1" ht="27.75" customHeight="1">
      <c r="A156" s="40" t="s">
        <v>45</v>
      </c>
      <c r="B156" s="41"/>
      <c r="C156" s="42"/>
      <c r="D156" s="42"/>
      <c r="E156" s="42"/>
      <c r="F156" s="42"/>
      <c r="G156" s="42"/>
      <c r="H156" s="42"/>
      <c r="I156" s="28" t="s">
        <v>142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30"/>
      <c r="X156" s="43" t="s">
        <v>132</v>
      </c>
      <c r="Y156" s="43"/>
      <c r="Z156" s="43"/>
      <c r="AA156" s="52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4"/>
      <c r="AM156" s="37">
        <v>12</v>
      </c>
      <c r="AN156" s="37"/>
      <c r="AO156" s="37"/>
      <c r="AP156" s="37"/>
      <c r="AQ156" s="37"/>
      <c r="AR156" s="37"/>
      <c r="AS156" s="37"/>
      <c r="AT156" s="37"/>
      <c r="AU156" s="37"/>
      <c r="AV156" s="37"/>
      <c r="AW156" s="38"/>
      <c r="AX156" s="31">
        <v>12</v>
      </c>
      <c r="AY156" s="31"/>
      <c r="AZ156" s="31"/>
      <c r="BA156" s="31"/>
      <c r="BB156" s="31"/>
      <c r="BC156" s="31"/>
      <c r="BD156" s="31"/>
      <c r="BE156" s="31"/>
      <c r="BF156" s="31"/>
      <c r="BG156" s="31"/>
      <c r="BH156" s="102">
        <v>0</v>
      </c>
      <c r="BI156" s="37"/>
      <c r="BJ156" s="37"/>
      <c r="BK156" s="37"/>
      <c r="BL156" s="37"/>
      <c r="BM156" s="37"/>
      <c r="BN156" s="37"/>
      <c r="BO156" s="37"/>
      <c r="BP156" s="37"/>
      <c r="BQ156" s="37"/>
      <c r="BR156" s="38"/>
    </row>
    <row r="157" spans="1:70" s="2" customFormat="1" ht="27" customHeight="1">
      <c r="A157" s="89" t="s">
        <v>144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1"/>
      <c r="BR157" s="11"/>
    </row>
    <row r="158" spans="1:70" s="1" customFormat="1" ht="15" customHeight="1">
      <c r="A158" s="32">
        <v>3</v>
      </c>
      <c r="B158" s="32"/>
      <c r="C158" s="33"/>
      <c r="D158" s="34"/>
      <c r="E158" s="34"/>
      <c r="F158" s="34"/>
      <c r="G158" s="34"/>
      <c r="H158" s="35"/>
      <c r="I158" s="95" t="s">
        <v>41</v>
      </c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21"/>
    </row>
    <row r="159" spans="1:70" s="2" customFormat="1" ht="41.25" customHeight="1">
      <c r="A159" s="40" t="s">
        <v>44</v>
      </c>
      <c r="B159" s="41"/>
      <c r="C159" s="42"/>
      <c r="D159" s="42"/>
      <c r="E159" s="42"/>
      <c r="F159" s="42"/>
      <c r="G159" s="42"/>
      <c r="H159" s="42"/>
      <c r="I159" s="28" t="s">
        <v>143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30"/>
      <c r="X159" s="43" t="s">
        <v>32</v>
      </c>
      <c r="Y159" s="43"/>
      <c r="Z159" s="43"/>
      <c r="AA159" s="39" t="s">
        <v>43</v>
      </c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7">
        <f>AM152/AM155/AM156</f>
        <v>511.9047619047619</v>
      </c>
      <c r="AN159" s="37"/>
      <c r="AO159" s="37"/>
      <c r="AP159" s="37"/>
      <c r="AQ159" s="37"/>
      <c r="AR159" s="37"/>
      <c r="AS159" s="37"/>
      <c r="AT159" s="37"/>
      <c r="AU159" s="37"/>
      <c r="AV159" s="37"/>
      <c r="AW159" s="38"/>
      <c r="AX159" s="31">
        <f>AX152/AX155/AX156</f>
        <v>520.3141904761904</v>
      </c>
      <c r="AY159" s="31"/>
      <c r="AZ159" s="31"/>
      <c r="BA159" s="31"/>
      <c r="BB159" s="31"/>
      <c r="BC159" s="31"/>
      <c r="BD159" s="31"/>
      <c r="BE159" s="31"/>
      <c r="BF159" s="31"/>
      <c r="BG159" s="31"/>
      <c r="BH159" s="102">
        <f>AX159-AM159</f>
        <v>8.40942857142852</v>
      </c>
      <c r="BI159" s="37"/>
      <c r="BJ159" s="37"/>
      <c r="BK159" s="37"/>
      <c r="BL159" s="37"/>
      <c r="BM159" s="37"/>
      <c r="BN159" s="37"/>
      <c r="BO159" s="37"/>
      <c r="BP159" s="37"/>
      <c r="BQ159" s="37"/>
      <c r="BR159" s="38"/>
    </row>
    <row r="160" spans="1:70" s="2" customFormat="1" ht="27.75" customHeight="1">
      <c r="A160" s="65"/>
      <c r="B160" s="66"/>
      <c r="C160" s="42"/>
      <c r="D160" s="42"/>
      <c r="E160" s="42"/>
      <c r="F160" s="42"/>
      <c r="G160" s="42"/>
      <c r="H160" s="42"/>
      <c r="I160" s="28" t="s">
        <v>145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30"/>
      <c r="BR160" s="11"/>
    </row>
    <row r="161" spans="1:70" s="2" customFormat="1" ht="16.5" customHeight="1">
      <c r="A161" s="65"/>
      <c r="B161" s="66"/>
      <c r="C161" s="42"/>
      <c r="D161" s="42"/>
      <c r="E161" s="42"/>
      <c r="F161" s="42"/>
      <c r="G161" s="42"/>
      <c r="H161" s="42"/>
      <c r="I161" s="81" t="s">
        <v>146</v>
      </c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3"/>
      <c r="BR161" s="11"/>
    </row>
    <row r="162" spans="1:70" s="1" customFormat="1" ht="16.5" customHeight="1">
      <c r="A162" s="32">
        <v>1</v>
      </c>
      <c r="B162" s="32"/>
      <c r="C162" s="33"/>
      <c r="D162" s="34"/>
      <c r="E162" s="34"/>
      <c r="F162" s="34"/>
      <c r="G162" s="34"/>
      <c r="H162" s="35"/>
      <c r="I162" s="95" t="s">
        <v>50</v>
      </c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21"/>
    </row>
    <row r="163" spans="1:70" s="1" customFormat="1" ht="21" customHeight="1">
      <c r="A163" s="40" t="s">
        <v>44</v>
      </c>
      <c r="B163" s="41"/>
      <c r="C163" s="42"/>
      <c r="D163" s="42"/>
      <c r="E163" s="42"/>
      <c r="F163" s="42"/>
      <c r="G163" s="42"/>
      <c r="H163" s="42"/>
      <c r="I163" s="28" t="s">
        <v>7</v>
      </c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30"/>
      <c r="X163" s="43" t="s">
        <v>27</v>
      </c>
      <c r="Y163" s="43"/>
      <c r="Z163" s="43"/>
      <c r="AA163" s="39" t="s">
        <v>101</v>
      </c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7">
        <v>83200</v>
      </c>
      <c r="AN163" s="37"/>
      <c r="AO163" s="37"/>
      <c r="AP163" s="37"/>
      <c r="AQ163" s="37"/>
      <c r="AR163" s="37"/>
      <c r="AS163" s="37"/>
      <c r="AT163" s="37"/>
      <c r="AU163" s="37"/>
      <c r="AV163" s="37"/>
      <c r="AW163" s="38"/>
      <c r="AX163" s="31">
        <f>49174.35</f>
        <v>49174.35</v>
      </c>
      <c r="AY163" s="31"/>
      <c r="AZ163" s="31"/>
      <c r="BA163" s="31"/>
      <c r="BB163" s="31"/>
      <c r="BC163" s="31"/>
      <c r="BD163" s="31"/>
      <c r="BE163" s="31"/>
      <c r="BF163" s="31"/>
      <c r="BG163" s="31"/>
      <c r="BH163" s="102">
        <f>AX163-AM163</f>
        <v>-34025.65</v>
      </c>
      <c r="BI163" s="37"/>
      <c r="BJ163" s="37"/>
      <c r="BK163" s="37"/>
      <c r="BL163" s="37"/>
      <c r="BM163" s="37"/>
      <c r="BN163" s="37"/>
      <c r="BO163" s="37"/>
      <c r="BP163" s="37"/>
      <c r="BQ163" s="37"/>
      <c r="BR163" s="38"/>
    </row>
    <row r="164" spans="1:70" s="2" customFormat="1" ht="14.25" customHeight="1">
      <c r="A164" s="65"/>
      <c r="B164" s="66"/>
      <c r="C164" s="42"/>
      <c r="D164" s="42"/>
      <c r="E164" s="42"/>
      <c r="F164" s="42"/>
      <c r="G164" s="42"/>
      <c r="H164" s="42"/>
      <c r="I164" s="28" t="s">
        <v>150</v>
      </c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30"/>
      <c r="BR164" s="11"/>
    </row>
    <row r="165" spans="1:70" s="1" customFormat="1" ht="17.25" customHeight="1">
      <c r="A165" s="32">
        <v>2</v>
      </c>
      <c r="B165" s="32"/>
      <c r="C165" s="92"/>
      <c r="D165" s="92"/>
      <c r="E165" s="92"/>
      <c r="F165" s="92"/>
      <c r="G165" s="92"/>
      <c r="H165" s="92"/>
      <c r="I165" s="93" t="s">
        <v>40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4"/>
      <c r="BR165" s="21"/>
    </row>
    <row r="166" spans="1:70" s="2" customFormat="1" ht="63" customHeight="1">
      <c r="A166" s="40" t="s">
        <v>44</v>
      </c>
      <c r="B166" s="41"/>
      <c r="C166" s="42"/>
      <c r="D166" s="42"/>
      <c r="E166" s="42"/>
      <c r="F166" s="42"/>
      <c r="G166" s="42"/>
      <c r="H166" s="42"/>
      <c r="I166" s="28" t="s">
        <v>147</v>
      </c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30"/>
      <c r="X166" s="43" t="s">
        <v>27</v>
      </c>
      <c r="Y166" s="43"/>
      <c r="Z166" s="43"/>
      <c r="AA166" s="39" t="s">
        <v>106</v>
      </c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7">
        <v>166</v>
      </c>
      <c r="AN166" s="37"/>
      <c r="AO166" s="37"/>
      <c r="AP166" s="37"/>
      <c r="AQ166" s="37"/>
      <c r="AR166" s="37"/>
      <c r="AS166" s="37"/>
      <c r="AT166" s="37"/>
      <c r="AU166" s="37"/>
      <c r="AV166" s="37"/>
      <c r="AW166" s="38"/>
      <c r="AX166" s="31">
        <f>142</f>
        <v>142</v>
      </c>
      <c r="AY166" s="31"/>
      <c r="AZ166" s="31"/>
      <c r="BA166" s="31"/>
      <c r="BB166" s="31"/>
      <c r="BC166" s="31"/>
      <c r="BD166" s="31"/>
      <c r="BE166" s="31"/>
      <c r="BF166" s="31"/>
      <c r="BG166" s="31"/>
      <c r="BH166" s="102">
        <f>AX166-AM166</f>
        <v>-24</v>
      </c>
      <c r="BI166" s="37"/>
      <c r="BJ166" s="37"/>
      <c r="BK166" s="37"/>
      <c r="BL166" s="37"/>
      <c r="BM166" s="37"/>
      <c r="BN166" s="37"/>
      <c r="BO166" s="37"/>
      <c r="BP166" s="37"/>
      <c r="BQ166" s="37"/>
      <c r="BR166" s="38"/>
    </row>
    <row r="167" spans="1:70" s="2" customFormat="1" ht="27.75" customHeight="1">
      <c r="A167" s="65"/>
      <c r="B167" s="66"/>
      <c r="C167" s="42"/>
      <c r="D167" s="42"/>
      <c r="E167" s="42"/>
      <c r="F167" s="42"/>
      <c r="G167" s="42"/>
      <c r="H167" s="42"/>
      <c r="I167" s="28" t="s">
        <v>151</v>
      </c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30"/>
      <c r="BR167" s="11"/>
    </row>
    <row r="168" spans="1:70" s="1" customFormat="1" ht="20.25" customHeight="1">
      <c r="A168" s="32">
        <v>3</v>
      </c>
      <c r="B168" s="32"/>
      <c r="C168" s="33"/>
      <c r="D168" s="34"/>
      <c r="E168" s="34"/>
      <c r="F168" s="34"/>
      <c r="G168" s="34"/>
      <c r="H168" s="35"/>
      <c r="I168" s="95" t="s">
        <v>41</v>
      </c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21"/>
    </row>
    <row r="169" spans="1:70" s="2" customFormat="1" ht="38.25" customHeight="1">
      <c r="A169" s="40" t="s">
        <v>44</v>
      </c>
      <c r="B169" s="41"/>
      <c r="C169" s="42"/>
      <c r="D169" s="42"/>
      <c r="E169" s="42"/>
      <c r="F169" s="42"/>
      <c r="G169" s="42"/>
      <c r="H169" s="42"/>
      <c r="I169" s="28" t="s">
        <v>148</v>
      </c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30"/>
      <c r="X169" s="43" t="s">
        <v>32</v>
      </c>
      <c r="Y169" s="43"/>
      <c r="Z169" s="43"/>
      <c r="AA169" s="39" t="s">
        <v>43</v>
      </c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7">
        <f>AM163/AM166</f>
        <v>501.2048192771084</v>
      </c>
      <c r="AN169" s="37"/>
      <c r="AO169" s="37"/>
      <c r="AP169" s="37"/>
      <c r="AQ169" s="37"/>
      <c r="AR169" s="37"/>
      <c r="AS169" s="37"/>
      <c r="AT169" s="37"/>
      <c r="AU169" s="37"/>
      <c r="AV169" s="37"/>
      <c r="AW169" s="38"/>
      <c r="AX169" s="31">
        <f>AX163/AX166</f>
        <v>346.2982394366197</v>
      </c>
      <c r="AY169" s="31"/>
      <c r="AZ169" s="31"/>
      <c r="BA169" s="31"/>
      <c r="BB169" s="31"/>
      <c r="BC169" s="31"/>
      <c r="BD169" s="31"/>
      <c r="BE169" s="31"/>
      <c r="BF169" s="31"/>
      <c r="BG169" s="31"/>
      <c r="BH169" s="102">
        <f>AX169-AM169</f>
        <v>-154.9065798404887</v>
      </c>
      <c r="BI169" s="37"/>
      <c r="BJ169" s="37"/>
      <c r="BK169" s="37"/>
      <c r="BL169" s="37"/>
      <c r="BM169" s="37"/>
      <c r="BN169" s="37"/>
      <c r="BO169" s="37"/>
      <c r="BP169" s="37"/>
      <c r="BQ169" s="37"/>
      <c r="BR169" s="38"/>
    </row>
    <row r="170" spans="1:70" s="2" customFormat="1" ht="23.25" customHeight="1">
      <c r="A170" s="65"/>
      <c r="B170" s="66"/>
      <c r="C170" s="42"/>
      <c r="D170" s="42"/>
      <c r="E170" s="42"/>
      <c r="F170" s="42"/>
      <c r="G170" s="42"/>
      <c r="H170" s="42"/>
      <c r="I170" s="28" t="s">
        <v>20</v>
      </c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30"/>
      <c r="BR170" s="11"/>
    </row>
    <row r="171" spans="1:70" s="9" customFormat="1" ht="16.5" customHeight="1">
      <c r="A171" s="99"/>
      <c r="B171" s="100"/>
      <c r="C171" s="101"/>
      <c r="D171" s="101"/>
      <c r="E171" s="101"/>
      <c r="F171" s="101"/>
      <c r="G171" s="101"/>
      <c r="H171" s="101"/>
      <c r="I171" s="81" t="s">
        <v>152</v>
      </c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3"/>
      <c r="BR171" s="22"/>
    </row>
    <row r="172" spans="1:70" s="9" customFormat="1" ht="16.5" customHeight="1">
      <c r="A172" s="99"/>
      <c r="B172" s="100"/>
      <c r="C172" s="101"/>
      <c r="D172" s="101"/>
      <c r="E172" s="101"/>
      <c r="F172" s="101"/>
      <c r="G172" s="101"/>
      <c r="H172" s="101"/>
      <c r="I172" s="81" t="s">
        <v>90</v>
      </c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3"/>
      <c r="BR172" s="22"/>
    </row>
    <row r="173" spans="1:70" s="1" customFormat="1" ht="16.5" customHeight="1">
      <c r="A173" s="32">
        <v>1</v>
      </c>
      <c r="B173" s="32"/>
      <c r="C173" s="33"/>
      <c r="D173" s="34"/>
      <c r="E173" s="34"/>
      <c r="F173" s="34"/>
      <c r="G173" s="34"/>
      <c r="H173" s="35"/>
      <c r="I173" s="95" t="s">
        <v>50</v>
      </c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21"/>
    </row>
    <row r="174" spans="1:70" s="1" customFormat="1" ht="21" customHeight="1">
      <c r="A174" s="40" t="s">
        <v>44</v>
      </c>
      <c r="B174" s="41"/>
      <c r="C174" s="42"/>
      <c r="D174" s="42"/>
      <c r="E174" s="42"/>
      <c r="F174" s="42"/>
      <c r="G174" s="42"/>
      <c r="H174" s="42"/>
      <c r="I174" s="28" t="s">
        <v>7</v>
      </c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30"/>
      <c r="X174" s="43" t="s">
        <v>27</v>
      </c>
      <c r="Y174" s="43"/>
      <c r="Z174" s="43"/>
      <c r="AA174" s="39" t="s">
        <v>101</v>
      </c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7">
        <v>321400</v>
      </c>
      <c r="AN174" s="37"/>
      <c r="AO174" s="37"/>
      <c r="AP174" s="37"/>
      <c r="AQ174" s="37"/>
      <c r="AR174" s="37"/>
      <c r="AS174" s="37"/>
      <c r="AT174" s="37"/>
      <c r="AU174" s="37"/>
      <c r="AV174" s="37"/>
      <c r="AW174" s="38"/>
      <c r="AX174" s="31">
        <f>265405.23</f>
        <v>265405.23</v>
      </c>
      <c r="AY174" s="31"/>
      <c r="AZ174" s="31"/>
      <c r="BA174" s="31"/>
      <c r="BB174" s="31"/>
      <c r="BC174" s="31"/>
      <c r="BD174" s="31"/>
      <c r="BE174" s="31"/>
      <c r="BF174" s="31"/>
      <c r="BG174" s="31"/>
      <c r="BH174" s="102">
        <f>AX174-AM174</f>
        <v>-55994.77000000002</v>
      </c>
      <c r="BI174" s="37"/>
      <c r="BJ174" s="37"/>
      <c r="BK174" s="37"/>
      <c r="BL174" s="37"/>
      <c r="BM174" s="37"/>
      <c r="BN174" s="37"/>
      <c r="BO174" s="37"/>
      <c r="BP174" s="37"/>
      <c r="BQ174" s="37"/>
      <c r="BR174" s="38"/>
    </row>
    <row r="175" spans="1:70" s="2" customFormat="1" ht="23.25" customHeight="1">
      <c r="A175" s="65"/>
      <c r="B175" s="66"/>
      <c r="C175" s="42"/>
      <c r="D175" s="42"/>
      <c r="E175" s="42"/>
      <c r="F175" s="42"/>
      <c r="G175" s="42"/>
      <c r="H175" s="42"/>
      <c r="I175" s="28" t="s">
        <v>155</v>
      </c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30"/>
      <c r="BR175" s="11"/>
    </row>
    <row r="176" spans="1:70" s="1" customFormat="1" ht="17.25" customHeight="1">
      <c r="A176" s="32">
        <v>2</v>
      </c>
      <c r="B176" s="32"/>
      <c r="C176" s="92"/>
      <c r="D176" s="92"/>
      <c r="E176" s="92"/>
      <c r="F176" s="92"/>
      <c r="G176" s="92"/>
      <c r="H176" s="92"/>
      <c r="I176" s="93" t="s">
        <v>40</v>
      </c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4"/>
      <c r="BR176" s="21"/>
    </row>
    <row r="177" spans="1:70" s="2" customFormat="1" ht="63" customHeight="1">
      <c r="A177" s="40" t="s">
        <v>44</v>
      </c>
      <c r="B177" s="41"/>
      <c r="C177" s="42"/>
      <c r="D177" s="42"/>
      <c r="E177" s="42"/>
      <c r="F177" s="42"/>
      <c r="G177" s="42"/>
      <c r="H177" s="42"/>
      <c r="I177" s="28" t="s">
        <v>153</v>
      </c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30"/>
      <c r="X177" s="43" t="s">
        <v>27</v>
      </c>
      <c r="Y177" s="43"/>
      <c r="Z177" s="43"/>
      <c r="AA177" s="39" t="s">
        <v>106</v>
      </c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7">
        <v>16</v>
      </c>
      <c r="AN177" s="37"/>
      <c r="AO177" s="37"/>
      <c r="AP177" s="37"/>
      <c r="AQ177" s="37"/>
      <c r="AR177" s="37"/>
      <c r="AS177" s="37"/>
      <c r="AT177" s="37"/>
      <c r="AU177" s="37"/>
      <c r="AV177" s="37"/>
      <c r="AW177" s="38"/>
      <c r="AX177" s="31">
        <v>16</v>
      </c>
      <c r="AY177" s="31"/>
      <c r="AZ177" s="31"/>
      <c r="BA177" s="31"/>
      <c r="BB177" s="31"/>
      <c r="BC177" s="31"/>
      <c r="BD177" s="31"/>
      <c r="BE177" s="31"/>
      <c r="BF177" s="31"/>
      <c r="BG177" s="31"/>
      <c r="BH177" s="102">
        <f>AX177-AM177</f>
        <v>0</v>
      </c>
      <c r="BI177" s="37"/>
      <c r="BJ177" s="37"/>
      <c r="BK177" s="37"/>
      <c r="BL177" s="37"/>
      <c r="BM177" s="37"/>
      <c r="BN177" s="37"/>
      <c r="BO177" s="37"/>
      <c r="BP177" s="37"/>
      <c r="BQ177" s="37"/>
      <c r="BR177" s="38"/>
    </row>
    <row r="178" spans="1:70" s="2" customFormat="1" ht="21" customHeight="1">
      <c r="A178" s="65"/>
      <c r="B178" s="66"/>
      <c r="C178" s="42"/>
      <c r="D178" s="42"/>
      <c r="E178" s="42"/>
      <c r="F178" s="42"/>
      <c r="G178" s="42"/>
      <c r="H178" s="42"/>
      <c r="I178" s="28" t="s">
        <v>151</v>
      </c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30"/>
      <c r="BR178" s="11"/>
    </row>
    <row r="179" spans="1:70" s="1" customFormat="1" ht="20.25" customHeight="1">
      <c r="A179" s="32">
        <v>3</v>
      </c>
      <c r="B179" s="32"/>
      <c r="C179" s="33"/>
      <c r="D179" s="34"/>
      <c r="E179" s="34"/>
      <c r="F179" s="34"/>
      <c r="G179" s="34"/>
      <c r="H179" s="35"/>
      <c r="I179" s="95" t="s">
        <v>41</v>
      </c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21"/>
    </row>
    <row r="180" spans="1:70" s="2" customFormat="1" ht="38.25" customHeight="1">
      <c r="A180" s="40" t="s">
        <v>44</v>
      </c>
      <c r="B180" s="41"/>
      <c r="C180" s="42"/>
      <c r="D180" s="42"/>
      <c r="E180" s="42"/>
      <c r="F180" s="42"/>
      <c r="G180" s="42"/>
      <c r="H180" s="42"/>
      <c r="I180" s="28" t="s">
        <v>154</v>
      </c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30"/>
      <c r="X180" s="43" t="s">
        <v>32</v>
      </c>
      <c r="Y180" s="43"/>
      <c r="Z180" s="43"/>
      <c r="AA180" s="39" t="s">
        <v>43</v>
      </c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7">
        <f>AM174/AM177</f>
        <v>20087.5</v>
      </c>
      <c r="AN180" s="37"/>
      <c r="AO180" s="37"/>
      <c r="AP180" s="37"/>
      <c r="AQ180" s="37"/>
      <c r="AR180" s="37"/>
      <c r="AS180" s="37"/>
      <c r="AT180" s="37"/>
      <c r="AU180" s="37"/>
      <c r="AV180" s="37"/>
      <c r="AW180" s="38"/>
      <c r="AX180" s="31">
        <f>AX174/AX177</f>
        <v>16587.826875</v>
      </c>
      <c r="AY180" s="31"/>
      <c r="AZ180" s="31"/>
      <c r="BA180" s="31"/>
      <c r="BB180" s="31"/>
      <c r="BC180" s="31"/>
      <c r="BD180" s="31"/>
      <c r="BE180" s="31"/>
      <c r="BF180" s="31"/>
      <c r="BG180" s="31"/>
      <c r="BH180" s="102">
        <f>AX180-AM180</f>
        <v>-3499.673125000001</v>
      </c>
      <c r="BI180" s="37"/>
      <c r="BJ180" s="37"/>
      <c r="BK180" s="37"/>
      <c r="BL180" s="37"/>
      <c r="BM180" s="37"/>
      <c r="BN180" s="37"/>
      <c r="BO180" s="37"/>
      <c r="BP180" s="37"/>
      <c r="BQ180" s="37"/>
      <c r="BR180" s="38"/>
    </row>
    <row r="181" spans="1:70" s="2" customFormat="1" ht="38.25" customHeight="1">
      <c r="A181" s="65"/>
      <c r="B181" s="66"/>
      <c r="C181" s="42"/>
      <c r="D181" s="42"/>
      <c r="E181" s="42"/>
      <c r="F181" s="42"/>
      <c r="G181" s="42"/>
      <c r="H181" s="42"/>
      <c r="I181" s="28" t="s">
        <v>156</v>
      </c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30"/>
      <c r="BR181" s="11"/>
    </row>
    <row r="182" spans="1:70" s="9" customFormat="1" ht="16.5" customHeight="1">
      <c r="A182" s="99"/>
      <c r="B182" s="100"/>
      <c r="C182" s="101"/>
      <c r="D182" s="101"/>
      <c r="E182" s="101"/>
      <c r="F182" s="101"/>
      <c r="G182" s="101"/>
      <c r="H182" s="101"/>
      <c r="I182" s="81" t="s">
        <v>157</v>
      </c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3"/>
      <c r="BR182" s="22"/>
    </row>
    <row r="183" spans="1:70" s="9" customFormat="1" ht="16.5" customHeight="1">
      <c r="A183" s="99"/>
      <c r="B183" s="100"/>
      <c r="C183" s="101"/>
      <c r="D183" s="101"/>
      <c r="E183" s="101"/>
      <c r="F183" s="101"/>
      <c r="G183" s="101"/>
      <c r="H183" s="101"/>
      <c r="I183" s="81" t="s">
        <v>158</v>
      </c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3"/>
      <c r="BR183" s="22"/>
    </row>
    <row r="184" spans="1:70" s="1" customFormat="1" ht="16.5" customHeight="1">
      <c r="A184" s="32">
        <v>1</v>
      </c>
      <c r="B184" s="32"/>
      <c r="C184" s="33"/>
      <c r="D184" s="34"/>
      <c r="E184" s="34"/>
      <c r="F184" s="34"/>
      <c r="G184" s="34"/>
      <c r="H184" s="35"/>
      <c r="I184" s="95" t="s">
        <v>50</v>
      </c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21"/>
    </row>
    <row r="185" spans="1:70" s="1" customFormat="1" ht="21" customHeight="1">
      <c r="A185" s="40" t="s">
        <v>44</v>
      </c>
      <c r="B185" s="41"/>
      <c r="C185" s="42"/>
      <c r="D185" s="42"/>
      <c r="E185" s="42"/>
      <c r="F185" s="42"/>
      <c r="G185" s="42"/>
      <c r="H185" s="42"/>
      <c r="I185" s="28" t="s">
        <v>7</v>
      </c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30"/>
      <c r="X185" s="43" t="s">
        <v>27</v>
      </c>
      <c r="Y185" s="43"/>
      <c r="Z185" s="43"/>
      <c r="AA185" s="39" t="s">
        <v>101</v>
      </c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7">
        <f>79530</f>
        <v>79530</v>
      </c>
      <c r="AN185" s="37"/>
      <c r="AO185" s="37"/>
      <c r="AP185" s="37"/>
      <c r="AQ185" s="37"/>
      <c r="AR185" s="37"/>
      <c r="AS185" s="37"/>
      <c r="AT185" s="37"/>
      <c r="AU185" s="37"/>
      <c r="AV185" s="37"/>
      <c r="AW185" s="38"/>
      <c r="AX185" s="31">
        <f>64327.92</f>
        <v>64327.92</v>
      </c>
      <c r="AY185" s="31"/>
      <c r="AZ185" s="31"/>
      <c r="BA185" s="31"/>
      <c r="BB185" s="31"/>
      <c r="BC185" s="31"/>
      <c r="BD185" s="31"/>
      <c r="BE185" s="31"/>
      <c r="BF185" s="31"/>
      <c r="BG185" s="31"/>
      <c r="BH185" s="102">
        <f>AX185-AM185</f>
        <v>-15202.080000000002</v>
      </c>
      <c r="BI185" s="37"/>
      <c r="BJ185" s="37"/>
      <c r="BK185" s="37"/>
      <c r="BL185" s="37"/>
      <c r="BM185" s="37"/>
      <c r="BN185" s="37"/>
      <c r="BO185" s="37"/>
      <c r="BP185" s="37"/>
      <c r="BQ185" s="37"/>
      <c r="BR185" s="38"/>
    </row>
    <row r="186" spans="1:70" s="2" customFormat="1" ht="28.5" customHeight="1">
      <c r="A186" s="65"/>
      <c r="B186" s="66"/>
      <c r="C186" s="42"/>
      <c r="D186" s="42"/>
      <c r="E186" s="42"/>
      <c r="F186" s="42"/>
      <c r="G186" s="42"/>
      <c r="H186" s="42"/>
      <c r="I186" s="28" t="s">
        <v>161</v>
      </c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30"/>
      <c r="BR186" s="11"/>
    </row>
    <row r="187" spans="1:70" s="1" customFormat="1" ht="17.25" customHeight="1">
      <c r="A187" s="32">
        <v>2</v>
      </c>
      <c r="B187" s="32"/>
      <c r="C187" s="92"/>
      <c r="D187" s="92"/>
      <c r="E187" s="92"/>
      <c r="F187" s="92"/>
      <c r="G187" s="92"/>
      <c r="H187" s="92"/>
      <c r="I187" s="93" t="s">
        <v>40</v>
      </c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4"/>
      <c r="BR187" s="21"/>
    </row>
    <row r="188" spans="1:70" s="2" customFormat="1" ht="63" customHeight="1">
      <c r="A188" s="40" t="s">
        <v>44</v>
      </c>
      <c r="B188" s="41"/>
      <c r="C188" s="42"/>
      <c r="D188" s="42"/>
      <c r="E188" s="42"/>
      <c r="F188" s="42"/>
      <c r="G188" s="42"/>
      <c r="H188" s="42"/>
      <c r="I188" s="28" t="s">
        <v>159</v>
      </c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30"/>
      <c r="X188" s="43" t="s">
        <v>27</v>
      </c>
      <c r="Y188" s="43"/>
      <c r="Z188" s="43"/>
      <c r="AA188" s="39" t="s">
        <v>106</v>
      </c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7">
        <f>133</f>
        <v>133</v>
      </c>
      <c r="AN188" s="37"/>
      <c r="AO188" s="37"/>
      <c r="AP188" s="37"/>
      <c r="AQ188" s="37"/>
      <c r="AR188" s="37"/>
      <c r="AS188" s="37"/>
      <c r="AT188" s="37"/>
      <c r="AU188" s="37"/>
      <c r="AV188" s="37"/>
      <c r="AW188" s="38"/>
      <c r="AX188" s="31">
        <v>122.75</v>
      </c>
      <c r="AY188" s="31"/>
      <c r="AZ188" s="31"/>
      <c r="BA188" s="31"/>
      <c r="BB188" s="31"/>
      <c r="BC188" s="31"/>
      <c r="BD188" s="31"/>
      <c r="BE188" s="31"/>
      <c r="BF188" s="31"/>
      <c r="BG188" s="31"/>
      <c r="BH188" s="102">
        <f>AX188-AM188</f>
        <v>-10.25</v>
      </c>
      <c r="BI188" s="37"/>
      <c r="BJ188" s="37"/>
      <c r="BK188" s="37"/>
      <c r="BL188" s="37"/>
      <c r="BM188" s="37"/>
      <c r="BN188" s="37"/>
      <c r="BO188" s="37"/>
      <c r="BP188" s="37"/>
      <c r="BQ188" s="37"/>
      <c r="BR188" s="38"/>
    </row>
    <row r="189" spans="1:70" s="2" customFormat="1" ht="22.5" customHeight="1" hidden="1">
      <c r="A189" s="65"/>
      <c r="B189" s="66"/>
      <c r="C189" s="42"/>
      <c r="D189" s="42"/>
      <c r="E189" s="42"/>
      <c r="F189" s="42"/>
      <c r="G189" s="42"/>
      <c r="H189" s="42"/>
      <c r="I189" s="28" t="s">
        <v>162</v>
      </c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30"/>
      <c r="BR189" s="11"/>
    </row>
    <row r="190" spans="1:70" s="1" customFormat="1" ht="20.25" customHeight="1">
      <c r="A190" s="32">
        <v>3</v>
      </c>
      <c r="B190" s="32"/>
      <c r="C190" s="33"/>
      <c r="D190" s="34"/>
      <c r="E190" s="34"/>
      <c r="F190" s="34"/>
      <c r="G190" s="34"/>
      <c r="H190" s="35"/>
      <c r="I190" s="95" t="s">
        <v>41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21"/>
    </row>
    <row r="191" spans="1:70" s="2" customFormat="1" ht="38.25" customHeight="1">
      <c r="A191" s="40" t="s">
        <v>44</v>
      </c>
      <c r="B191" s="41"/>
      <c r="C191" s="42"/>
      <c r="D191" s="42"/>
      <c r="E191" s="42"/>
      <c r="F191" s="42"/>
      <c r="G191" s="42"/>
      <c r="H191" s="42"/>
      <c r="I191" s="28" t="s">
        <v>160</v>
      </c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30"/>
      <c r="X191" s="43" t="s">
        <v>32</v>
      </c>
      <c r="Y191" s="43"/>
      <c r="Z191" s="43"/>
      <c r="AA191" s="39" t="s">
        <v>43</v>
      </c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7">
        <f>AM185/AM188</f>
        <v>597.9699248120301</v>
      </c>
      <c r="AN191" s="37"/>
      <c r="AO191" s="37"/>
      <c r="AP191" s="37"/>
      <c r="AQ191" s="37"/>
      <c r="AR191" s="37"/>
      <c r="AS191" s="37"/>
      <c r="AT191" s="37"/>
      <c r="AU191" s="37"/>
      <c r="AV191" s="37"/>
      <c r="AW191" s="38"/>
      <c r="AX191" s="31">
        <f>AX185/AX188</f>
        <v>524.0563747454175</v>
      </c>
      <c r="AY191" s="31"/>
      <c r="AZ191" s="31"/>
      <c r="BA191" s="31"/>
      <c r="BB191" s="31"/>
      <c r="BC191" s="31"/>
      <c r="BD191" s="31"/>
      <c r="BE191" s="31"/>
      <c r="BF191" s="31"/>
      <c r="BG191" s="31"/>
      <c r="BH191" s="102">
        <f>AX191-AM191</f>
        <v>-73.91355006661252</v>
      </c>
      <c r="BI191" s="37"/>
      <c r="BJ191" s="37"/>
      <c r="BK191" s="37"/>
      <c r="BL191" s="37"/>
      <c r="BM191" s="37"/>
      <c r="BN191" s="37"/>
      <c r="BO191" s="37"/>
      <c r="BP191" s="37"/>
      <c r="BQ191" s="37"/>
      <c r="BR191" s="38"/>
    </row>
    <row r="192" spans="1:70" s="2" customFormat="1" ht="28.5" customHeight="1">
      <c r="A192" s="65"/>
      <c r="B192" s="66"/>
      <c r="C192" s="42"/>
      <c r="D192" s="42"/>
      <c r="E192" s="42"/>
      <c r="F192" s="42"/>
      <c r="G192" s="42"/>
      <c r="H192" s="42"/>
      <c r="I192" s="28" t="s">
        <v>163</v>
      </c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30"/>
      <c r="BR192" s="11"/>
    </row>
    <row r="193" spans="1:70" s="10" customFormat="1" ht="16.5" customHeight="1">
      <c r="A193" s="84"/>
      <c r="B193" s="85"/>
      <c r="C193" s="86"/>
      <c r="D193" s="86"/>
      <c r="E193" s="86"/>
      <c r="F193" s="86"/>
      <c r="G193" s="86"/>
      <c r="H193" s="86"/>
      <c r="I193" s="81" t="s">
        <v>91</v>
      </c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3"/>
      <c r="BR193" s="12"/>
    </row>
    <row r="194" spans="1:70" s="2" customFormat="1" ht="16.5" customHeight="1">
      <c r="A194" s="65"/>
      <c r="B194" s="66"/>
      <c r="C194" s="42"/>
      <c r="D194" s="42"/>
      <c r="E194" s="42"/>
      <c r="F194" s="42"/>
      <c r="G194" s="42"/>
      <c r="H194" s="42"/>
      <c r="I194" s="81" t="s">
        <v>164</v>
      </c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3"/>
      <c r="BR194" s="11"/>
    </row>
    <row r="195" spans="1:70" s="1" customFormat="1" ht="12" customHeight="1">
      <c r="A195" s="32">
        <v>1</v>
      </c>
      <c r="B195" s="32"/>
      <c r="C195" s="33"/>
      <c r="D195" s="34"/>
      <c r="E195" s="34"/>
      <c r="F195" s="34"/>
      <c r="G195" s="34"/>
      <c r="H195" s="35"/>
      <c r="I195" s="95" t="s">
        <v>50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21"/>
    </row>
    <row r="196" spans="1:70" s="1" customFormat="1" ht="21" customHeight="1">
      <c r="A196" s="40" t="s">
        <v>44</v>
      </c>
      <c r="B196" s="41"/>
      <c r="C196" s="42"/>
      <c r="D196" s="42"/>
      <c r="E196" s="42"/>
      <c r="F196" s="42"/>
      <c r="G196" s="42"/>
      <c r="H196" s="42"/>
      <c r="I196" s="28" t="s">
        <v>7</v>
      </c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30"/>
      <c r="X196" s="43" t="s">
        <v>27</v>
      </c>
      <c r="Y196" s="43"/>
      <c r="Z196" s="43"/>
      <c r="AA196" s="39" t="s">
        <v>101</v>
      </c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7">
        <v>805380</v>
      </c>
      <c r="AN196" s="37"/>
      <c r="AO196" s="37"/>
      <c r="AP196" s="37"/>
      <c r="AQ196" s="37"/>
      <c r="AR196" s="37"/>
      <c r="AS196" s="37"/>
      <c r="AT196" s="37"/>
      <c r="AU196" s="37"/>
      <c r="AV196" s="37"/>
      <c r="AW196" s="38"/>
      <c r="AX196" s="31">
        <f>664640.56</f>
        <v>664640.56</v>
      </c>
      <c r="AY196" s="31"/>
      <c r="AZ196" s="31"/>
      <c r="BA196" s="31"/>
      <c r="BB196" s="31"/>
      <c r="BC196" s="31"/>
      <c r="BD196" s="31"/>
      <c r="BE196" s="31"/>
      <c r="BF196" s="31"/>
      <c r="BG196" s="31"/>
      <c r="BH196" s="102">
        <f>AX196-AM196</f>
        <v>-140739.43999999994</v>
      </c>
      <c r="BI196" s="37"/>
      <c r="BJ196" s="37"/>
      <c r="BK196" s="37"/>
      <c r="BL196" s="37"/>
      <c r="BM196" s="37"/>
      <c r="BN196" s="37"/>
      <c r="BO196" s="37"/>
      <c r="BP196" s="37"/>
      <c r="BQ196" s="37"/>
      <c r="BR196" s="38"/>
    </row>
    <row r="197" spans="1:70" s="2" customFormat="1" ht="26.25" customHeight="1">
      <c r="A197" s="65"/>
      <c r="B197" s="66"/>
      <c r="C197" s="42"/>
      <c r="D197" s="42"/>
      <c r="E197" s="42"/>
      <c r="F197" s="42"/>
      <c r="G197" s="42"/>
      <c r="H197" s="42"/>
      <c r="I197" s="28" t="s">
        <v>167</v>
      </c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30"/>
      <c r="BR197" s="11"/>
    </row>
    <row r="198" spans="1:70" s="1" customFormat="1" ht="15.75" customHeight="1">
      <c r="A198" s="32">
        <v>2</v>
      </c>
      <c r="B198" s="32"/>
      <c r="C198" s="92"/>
      <c r="D198" s="92"/>
      <c r="E198" s="92"/>
      <c r="F198" s="92"/>
      <c r="G198" s="92"/>
      <c r="H198" s="92"/>
      <c r="I198" s="93" t="s">
        <v>40</v>
      </c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4"/>
      <c r="BR198" s="21"/>
    </row>
    <row r="199" spans="1:70" s="2" customFormat="1" ht="31.5" customHeight="1">
      <c r="A199" s="40" t="s">
        <v>44</v>
      </c>
      <c r="B199" s="41"/>
      <c r="C199" s="42"/>
      <c r="D199" s="42"/>
      <c r="E199" s="42"/>
      <c r="F199" s="42"/>
      <c r="G199" s="42"/>
      <c r="H199" s="42"/>
      <c r="I199" s="28" t="s">
        <v>159</v>
      </c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30"/>
      <c r="X199" s="43" t="s">
        <v>27</v>
      </c>
      <c r="Y199" s="43"/>
      <c r="Z199" s="43"/>
      <c r="AA199" s="49" t="s">
        <v>106</v>
      </c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1"/>
      <c r="AM199" s="37">
        <v>420</v>
      </c>
      <c r="AN199" s="37"/>
      <c r="AO199" s="37"/>
      <c r="AP199" s="37"/>
      <c r="AQ199" s="37"/>
      <c r="AR199" s="37"/>
      <c r="AS199" s="37"/>
      <c r="AT199" s="37"/>
      <c r="AU199" s="37"/>
      <c r="AV199" s="37"/>
      <c r="AW199" s="38"/>
      <c r="AX199" s="31">
        <f>410</f>
        <v>410</v>
      </c>
      <c r="AY199" s="31"/>
      <c r="AZ199" s="31"/>
      <c r="BA199" s="31"/>
      <c r="BB199" s="31"/>
      <c r="BC199" s="31"/>
      <c r="BD199" s="31"/>
      <c r="BE199" s="31"/>
      <c r="BF199" s="31"/>
      <c r="BG199" s="31"/>
      <c r="BH199" s="102">
        <f>AX199-AM199</f>
        <v>-10</v>
      </c>
      <c r="BI199" s="37"/>
      <c r="BJ199" s="37"/>
      <c r="BK199" s="37"/>
      <c r="BL199" s="37"/>
      <c r="BM199" s="37"/>
      <c r="BN199" s="37"/>
      <c r="BO199" s="37"/>
      <c r="BP199" s="37"/>
      <c r="BQ199" s="37"/>
      <c r="BR199" s="38"/>
    </row>
    <row r="200" spans="1:70" s="2" customFormat="1" ht="36" customHeight="1">
      <c r="A200" s="40" t="s">
        <v>45</v>
      </c>
      <c r="B200" s="41"/>
      <c r="C200" s="42"/>
      <c r="D200" s="42"/>
      <c r="E200" s="42"/>
      <c r="F200" s="42"/>
      <c r="G200" s="42"/>
      <c r="H200" s="42"/>
      <c r="I200" s="28" t="s">
        <v>131</v>
      </c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30"/>
      <c r="X200" s="43" t="s">
        <v>132</v>
      </c>
      <c r="Y200" s="43"/>
      <c r="Z200" s="43"/>
      <c r="AA200" s="52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4"/>
      <c r="AM200" s="37">
        <v>12</v>
      </c>
      <c r="AN200" s="37"/>
      <c r="AO200" s="37"/>
      <c r="AP200" s="37"/>
      <c r="AQ200" s="37"/>
      <c r="AR200" s="37"/>
      <c r="AS200" s="37"/>
      <c r="AT200" s="37"/>
      <c r="AU200" s="37"/>
      <c r="AV200" s="37"/>
      <c r="AW200" s="38"/>
      <c r="AX200" s="31">
        <v>12</v>
      </c>
      <c r="AY200" s="31"/>
      <c r="AZ200" s="31"/>
      <c r="BA200" s="31"/>
      <c r="BB200" s="31"/>
      <c r="BC200" s="31"/>
      <c r="BD200" s="31"/>
      <c r="BE200" s="31"/>
      <c r="BF200" s="31"/>
      <c r="BG200" s="31"/>
      <c r="BH200" s="102">
        <f>AX200-AM200</f>
        <v>0</v>
      </c>
      <c r="BI200" s="37"/>
      <c r="BJ200" s="37"/>
      <c r="BK200" s="37"/>
      <c r="BL200" s="37"/>
      <c r="BM200" s="37"/>
      <c r="BN200" s="37"/>
      <c r="BO200" s="37"/>
      <c r="BP200" s="37"/>
      <c r="BQ200" s="37"/>
      <c r="BR200" s="38"/>
    </row>
    <row r="201" spans="1:70" s="2" customFormat="1" ht="27" customHeight="1">
      <c r="A201" s="65"/>
      <c r="B201" s="66"/>
      <c r="C201" s="42"/>
      <c r="D201" s="42"/>
      <c r="E201" s="42"/>
      <c r="F201" s="42"/>
      <c r="G201" s="42"/>
      <c r="H201" s="42"/>
      <c r="I201" s="28" t="s">
        <v>162</v>
      </c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30"/>
      <c r="BR201" s="11"/>
    </row>
    <row r="202" spans="1:70" s="1" customFormat="1" ht="15" customHeight="1">
      <c r="A202" s="32">
        <v>3</v>
      </c>
      <c r="B202" s="32"/>
      <c r="C202" s="33"/>
      <c r="D202" s="34"/>
      <c r="E202" s="34"/>
      <c r="F202" s="34"/>
      <c r="G202" s="34"/>
      <c r="H202" s="35"/>
      <c r="I202" s="95" t="s">
        <v>41</v>
      </c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21"/>
    </row>
    <row r="203" spans="1:70" s="2" customFormat="1" ht="38.25" customHeight="1">
      <c r="A203" s="40" t="s">
        <v>44</v>
      </c>
      <c r="B203" s="41"/>
      <c r="C203" s="42"/>
      <c r="D203" s="42"/>
      <c r="E203" s="42"/>
      <c r="F203" s="42"/>
      <c r="G203" s="42"/>
      <c r="H203" s="42"/>
      <c r="I203" s="28" t="s">
        <v>165</v>
      </c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30"/>
      <c r="X203" s="43" t="s">
        <v>32</v>
      </c>
      <c r="Y203" s="43"/>
      <c r="Z203" s="43"/>
      <c r="AA203" s="39" t="s">
        <v>43</v>
      </c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7">
        <f>AM196/AM199</f>
        <v>1917.5714285714287</v>
      </c>
      <c r="AN203" s="37"/>
      <c r="AO203" s="37"/>
      <c r="AP203" s="37"/>
      <c r="AQ203" s="37"/>
      <c r="AR203" s="37"/>
      <c r="AS203" s="37"/>
      <c r="AT203" s="37"/>
      <c r="AU203" s="37"/>
      <c r="AV203" s="37"/>
      <c r="AW203" s="38"/>
      <c r="AX203" s="31">
        <f>AX196/AX199</f>
        <v>1621.0745365853659</v>
      </c>
      <c r="AY203" s="31"/>
      <c r="AZ203" s="31"/>
      <c r="BA203" s="31"/>
      <c r="BB203" s="31"/>
      <c r="BC203" s="31"/>
      <c r="BD203" s="31"/>
      <c r="BE203" s="31"/>
      <c r="BF203" s="31"/>
      <c r="BG203" s="31"/>
      <c r="BH203" s="102">
        <f>AX203-AM203</f>
        <v>-296.4968919860628</v>
      </c>
      <c r="BI203" s="37"/>
      <c r="BJ203" s="37"/>
      <c r="BK203" s="37"/>
      <c r="BL203" s="37"/>
      <c r="BM203" s="37"/>
      <c r="BN203" s="37"/>
      <c r="BO203" s="37"/>
      <c r="BP203" s="37"/>
      <c r="BQ203" s="37"/>
      <c r="BR203" s="38"/>
    </row>
    <row r="204" spans="1:70" s="2" customFormat="1" ht="24.75" customHeight="1" hidden="1">
      <c r="A204" s="65"/>
      <c r="B204" s="66"/>
      <c r="C204" s="42"/>
      <c r="D204" s="42"/>
      <c r="E204" s="42"/>
      <c r="F204" s="42"/>
      <c r="G204" s="42"/>
      <c r="H204" s="42"/>
      <c r="I204" s="28" t="s">
        <v>166</v>
      </c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30"/>
      <c r="BR204" s="11"/>
    </row>
    <row r="205" spans="1:70" s="9" customFormat="1" ht="16.5" customHeight="1">
      <c r="A205" s="99"/>
      <c r="B205" s="100"/>
      <c r="C205" s="101"/>
      <c r="D205" s="101"/>
      <c r="E205" s="101"/>
      <c r="F205" s="101"/>
      <c r="G205" s="101"/>
      <c r="H205" s="101"/>
      <c r="I205" s="81" t="s">
        <v>173</v>
      </c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3"/>
      <c r="BR205" s="22"/>
    </row>
    <row r="206" spans="1:70" s="1" customFormat="1" ht="12" customHeight="1">
      <c r="A206" s="32">
        <v>1</v>
      </c>
      <c r="B206" s="32"/>
      <c r="C206" s="33"/>
      <c r="D206" s="34"/>
      <c r="E206" s="34"/>
      <c r="F206" s="34"/>
      <c r="G206" s="34"/>
      <c r="H206" s="35"/>
      <c r="I206" s="95" t="s">
        <v>50</v>
      </c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21"/>
    </row>
    <row r="207" spans="1:70" s="1" customFormat="1" ht="21" customHeight="1">
      <c r="A207" s="40" t="s">
        <v>44</v>
      </c>
      <c r="B207" s="41"/>
      <c r="C207" s="42"/>
      <c r="D207" s="42"/>
      <c r="E207" s="42"/>
      <c r="F207" s="42"/>
      <c r="G207" s="42"/>
      <c r="H207" s="42"/>
      <c r="I207" s="28" t="s">
        <v>7</v>
      </c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30"/>
      <c r="X207" s="43" t="s">
        <v>27</v>
      </c>
      <c r="Y207" s="43"/>
      <c r="Z207" s="43"/>
      <c r="AA207" s="39" t="s">
        <v>101</v>
      </c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7">
        <v>60000</v>
      </c>
      <c r="AN207" s="37"/>
      <c r="AO207" s="37"/>
      <c r="AP207" s="37"/>
      <c r="AQ207" s="37"/>
      <c r="AR207" s="37"/>
      <c r="AS207" s="37"/>
      <c r="AT207" s="37"/>
      <c r="AU207" s="37"/>
      <c r="AV207" s="37"/>
      <c r="AW207" s="38"/>
      <c r="AX207" s="31">
        <f>50834.24</f>
        <v>50834.24</v>
      </c>
      <c r="AY207" s="31"/>
      <c r="AZ207" s="31"/>
      <c r="BA207" s="31"/>
      <c r="BB207" s="31"/>
      <c r="BC207" s="31"/>
      <c r="BD207" s="31"/>
      <c r="BE207" s="31"/>
      <c r="BF207" s="31"/>
      <c r="BG207" s="31"/>
      <c r="BH207" s="102">
        <f>AX207-AM207</f>
        <v>-9165.760000000002</v>
      </c>
      <c r="BI207" s="37"/>
      <c r="BJ207" s="37"/>
      <c r="BK207" s="37"/>
      <c r="BL207" s="37"/>
      <c r="BM207" s="37"/>
      <c r="BN207" s="37"/>
      <c r="BO207" s="37"/>
      <c r="BP207" s="37"/>
      <c r="BQ207" s="37"/>
      <c r="BR207" s="38"/>
    </row>
    <row r="208" spans="1:70" s="2" customFormat="1" ht="27.75" customHeight="1">
      <c r="A208" s="65"/>
      <c r="B208" s="66"/>
      <c r="C208" s="42"/>
      <c r="D208" s="42"/>
      <c r="E208" s="42"/>
      <c r="F208" s="42"/>
      <c r="G208" s="42"/>
      <c r="H208" s="42"/>
      <c r="I208" s="28" t="s">
        <v>20</v>
      </c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30"/>
      <c r="BR208" s="11"/>
    </row>
    <row r="209" spans="1:70" s="1" customFormat="1" ht="15.75" customHeight="1">
      <c r="A209" s="32">
        <v>2</v>
      </c>
      <c r="B209" s="32"/>
      <c r="C209" s="92"/>
      <c r="D209" s="92"/>
      <c r="E209" s="92"/>
      <c r="F209" s="92"/>
      <c r="G209" s="92"/>
      <c r="H209" s="92"/>
      <c r="I209" s="93" t="s">
        <v>40</v>
      </c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4"/>
      <c r="BR209" s="21"/>
    </row>
    <row r="210" spans="1:70" s="2" customFormat="1" ht="31.5" customHeight="1">
      <c r="A210" s="40" t="s">
        <v>44</v>
      </c>
      <c r="B210" s="41"/>
      <c r="C210" s="42"/>
      <c r="D210" s="42"/>
      <c r="E210" s="42"/>
      <c r="F210" s="42"/>
      <c r="G210" s="42"/>
      <c r="H210" s="42"/>
      <c r="I210" s="28" t="s">
        <v>168</v>
      </c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30"/>
      <c r="X210" s="43" t="s">
        <v>27</v>
      </c>
      <c r="Y210" s="43"/>
      <c r="Z210" s="43"/>
      <c r="AA210" s="49" t="s">
        <v>106</v>
      </c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1"/>
      <c r="AM210" s="37">
        <v>500</v>
      </c>
      <c r="AN210" s="37"/>
      <c r="AO210" s="37"/>
      <c r="AP210" s="37"/>
      <c r="AQ210" s="37"/>
      <c r="AR210" s="37"/>
      <c r="AS210" s="37"/>
      <c r="AT210" s="37"/>
      <c r="AU210" s="37"/>
      <c r="AV210" s="37"/>
      <c r="AW210" s="38"/>
      <c r="AX210" s="31">
        <v>500</v>
      </c>
      <c r="AY210" s="31"/>
      <c r="AZ210" s="31"/>
      <c r="BA210" s="31"/>
      <c r="BB210" s="31"/>
      <c r="BC210" s="31"/>
      <c r="BD210" s="31"/>
      <c r="BE210" s="31"/>
      <c r="BF210" s="31"/>
      <c r="BG210" s="31"/>
      <c r="BH210" s="102">
        <f>AX210-AM210</f>
        <v>0</v>
      </c>
      <c r="BI210" s="37"/>
      <c r="BJ210" s="37"/>
      <c r="BK210" s="37"/>
      <c r="BL210" s="37"/>
      <c r="BM210" s="37"/>
      <c r="BN210" s="37"/>
      <c r="BO210" s="37"/>
      <c r="BP210" s="37"/>
      <c r="BQ210" s="37"/>
      <c r="BR210" s="38"/>
    </row>
    <row r="211" spans="1:70" s="2" customFormat="1" ht="36" customHeight="1">
      <c r="A211" s="40" t="s">
        <v>45</v>
      </c>
      <c r="B211" s="41"/>
      <c r="C211" s="42"/>
      <c r="D211" s="42"/>
      <c r="E211" s="42"/>
      <c r="F211" s="42"/>
      <c r="G211" s="42"/>
      <c r="H211" s="42"/>
      <c r="I211" s="28" t="s">
        <v>131</v>
      </c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30"/>
      <c r="X211" s="43" t="s">
        <v>132</v>
      </c>
      <c r="Y211" s="43"/>
      <c r="Z211" s="43"/>
      <c r="AA211" s="52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4"/>
      <c r="AM211" s="37">
        <v>12</v>
      </c>
      <c r="AN211" s="37"/>
      <c r="AO211" s="37"/>
      <c r="AP211" s="37"/>
      <c r="AQ211" s="37"/>
      <c r="AR211" s="37"/>
      <c r="AS211" s="37"/>
      <c r="AT211" s="37"/>
      <c r="AU211" s="37"/>
      <c r="AV211" s="37"/>
      <c r="AW211" s="38"/>
      <c r="AX211" s="31">
        <v>12</v>
      </c>
      <c r="AY211" s="31"/>
      <c r="AZ211" s="31"/>
      <c r="BA211" s="31"/>
      <c r="BB211" s="31"/>
      <c r="BC211" s="31"/>
      <c r="BD211" s="31"/>
      <c r="BE211" s="31"/>
      <c r="BF211" s="31"/>
      <c r="BG211" s="31"/>
      <c r="BH211" s="102">
        <f>AX211-AM211</f>
        <v>0</v>
      </c>
      <c r="BI211" s="37"/>
      <c r="BJ211" s="37"/>
      <c r="BK211" s="37"/>
      <c r="BL211" s="37"/>
      <c r="BM211" s="37"/>
      <c r="BN211" s="37"/>
      <c r="BO211" s="37"/>
      <c r="BP211" s="37"/>
      <c r="BQ211" s="37"/>
      <c r="BR211" s="38"/>
    </row>
    <row r="212" spans="1:70" s="2" customFormat="1" ht="28.5" customHeight="1" hidden="1">
      <c r="A212" s="65"/>
      <c r="B212" s="66"/>
      <c r="C212" s="42"/>
      <c r="D212" s="42"/>
      <c r="E212" s="42"/>
      <c r="F212" s="42"/>
      <c r="G212" s="42"/>
      <c r="H212" s="42"/>
      <c r="I212" s="28" t="s">
        <v>169</v>
      </c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30"/>
      <c r="BR212" s="11"/>
    </row>
    <row r="213" spans="1:70" s="1" customFormat="1" ht="15" customHeight="1">
      <c r="A213" s="32">
        <v>3</v>
      </c>
      <c r="B213" s="32"/>
      <c r="C213" s="33"/>
      <c r="D213" s="34"/>
      <c r="E213" s="34"/>
      <c r="F213" s="34"/>
      <c r="G213" s="34"/>
      <c r="H213" s="35"/>
      <c r="I213" s="95" t="s">
        <v>41</v>
      </c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21"/>
    </row>
    <row r="214" spans="1:70" s="2" customFormat="1" ht="38.25" customHeight="1">
      <c r="A214" s="40" t="s">
        <v>44</v>
      </c>
      <c r="B214" s="41"/>
      <c r="C214" s="42"/>
      <c r="D214" s="42"/>
      <c r="E214" s="42"/>
      <c r="F214" s="42"/>
      <c r="G214" s="42"/>
      <c r="H214" s="42"/>
      <c r="I214" s="28" t="s">
        <v>174</v>
      </c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30"/>
      <c r="X214" s="43" t="s">
        <v>32</v>
      </c>
      <c r="Y214" s="43"/>
      <c r="Z214" s="43"/>
      <c r="AA214" s="39" t="s">
        <v>43</v>
      </c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7">
        <f>AM207/AM210/AM211</f>
        <v>10</v>
      </c>
      <c r="AN214" s="37"/>
      <c r="AO214" s="37"/>
      <c r="AP214" s="37"/>
      <c r="AQ214" s="37"/>
      <c r="AR214" s="37"/>
      <c r="AS214" s="37"/>
      <c r="AT214" s="37"/>
      <c r="AU214" s="37"/>
      <c r="AV214" s="37"/>
      <c r="AW214" s="38"/>
      <c r="AX214" s="31">
        <f>AX207/AX210/AX211</f>
        <v>8.472373333333334</v>
      </c>
      <c r="AY214" s="31"/>
      <c r="AZ214" s="31"/>
      <c r="BA214" s="31"/>
      <c r="BB214" s="31"/>
      <c r="BC214" s="31"/>
      <c r="BD214" s="31"/>
      <c r="BE214" s="31"/>
      <c r="BF214" s="31"/>
      <c r="BG214" s="31"/>
      <c r="BH214" s="102">
        <f>AX214-AM214</f>
        <v>-1.5276266666666665</v>
      </c>
      <c r="BI214" s="37"/>
      <c r="BJ214" s="37"/>
      <c r="BK214" s="37"/>
      <c r="BL214" s="37"/>
      <c r="BM214" s="37"/>
      <c r="BN214" s="37"/>
      <c r="BO214" s="37"/>
      <c r="BP214" s="37"/>
      <c r="BQ214" s="37"/>
      <c r="BR214" s="38"/>
    </row>
    <row r="215" spans="1:70" s="2" customFormat="1" ht="24.75" customHeight="1" hidden="1">
      <c r="A215" s="65"/>
      <c r="B215" s="66"/>
      <c r="C215" s="42"/>
      <c r="D215" s="42"/>
      <c r="E215" s="42"/>
      <c r="F215" s="42"/>
      <c r="G215" s="42"/>
      <c r="H215" s="42"/>
      <c r="I215" s="28" t="s">
        <v>170</v>
      </c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30"/>
      <c r="BR215" s="11"/>
    </row>
    <row r="216" spans="1:70" s="2" customFormat="1" ht="16.5" customHeight="1">
      <c r="A216" s="65"/>
      <c r="B216" s="66"/>
      <c r="C216" s="42"/>
      <c r="D216" s="42"/>
      <c r="E216" s="42"/>
      <c r="F216" s="42"/>
      <c r="G216" s="42"/>
      <c r="H216" s="42"/>
      <c r="I216" s="81" t="s">
        <v>172</v>
      </c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3"/>
      <c r="BR216" s="11"/>
    </row>
    <row r="217" spans="1:70" s="1" customFormat="1" ht="12" customHeight="1">
      <c r="A217" s="32">
        <v>1</v>
      </c>
      <c r="B217" s="32"/>
      <c r="C217" s="33"/>
      <c r="D217" s="34"/>
      <c r="E217" s="34"/>
      <c r="F217" s="34"/>
      <c r="G217" s="34"/>
      <c r="H217" s="35"/>
      <c r="I217" s="95" t="s">
        <v>50</v>
      </c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21"/>
    </row>
    <row r="218" spans="1:70" s="1" customFormat="1" ht="21" customHeight="1">
      <c r="A218" s="40" t="s">
        <v>44</v>
      </c>
      <c r="B218" s="41"/>
      <c r="C218" s="42"/>
      <c r="D218" s="42"/>
      <c r="E218" s="42"/>
      <c r="F218" s="42"/>
      <c r="G218" s="42"/>
      <c r="H218" s="42"/>
      <c r="I218" s="28" t="s">
        <v>7</v>
      </c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30"/>
      <c r="X218" s="43" t="s">
        <v>27</v>
      </c>
      <c r="Y218" s="43"/>
      <c r="Z218" s="43"/>
      <c r="AA218" s="39" t="s">
        <v>101</v>
      </c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7">
        <v>136620</v>
      </c>
      <c r="AN218" s="37"/>
      <c r="AO218" s="37"/>
      <c r="AP218" s="37"/>
      <c r="AQ218" s="37"/>
      <c r="AR218" s="37"/>
      <c r="AS218" s="37"/>
      <c r="AT218" s="37"/>
      <c r="AU218" s="37"/>
      <c r="AV218" s="37"/>
      <c r="AW218" s="38"/>
      <c r="AX218" s="31">
        <f>117370.2</f>
        <v>117370.2</v>
      </c>
      <c r="AY218" s="31"/>
      <c r="AZ218" s="31"/>
      <c r="BA218" s="31"/>
      <c r="BB218" s="31"/>
      <c r="BC218" s="31"/>
      <c r="BD218" s="31"/>
      <c r="BE218" s="31"/>
      <c r="BF218" s="31"/>
      <c r="BG218" s="31"/>
      <c r="BH218" s="102">
        <f>AX218-AM218</f>
        <v>-19249.800000000003</v>
      </c>
      <c r="BI218" s="37"/>
      <c r="BJ218" s="37"/>
      <c r="BK218" s="37"/>
      <c r="BL218" s="37"/>
      <c r="BM218" s="37"/>
      <c r="BN218" s="37"/>
      <c r="BO218" s="37"/>
      <c r="BP218" s="37"/>
      <c r="BQ218" s="37"/>
      <c r="BR218" s="38"/>
    </row>
    <row r="219" spans="1:70" s="2" customFormat="1" ht="27" customHeight="1">
      <c r="A219" s="65"/>
      <c r="B219" s="66"/>
      <c r="C219" s="42"/>
      <c r="D219" s="42"/>
      <c r="E219" s="42"/>
      <c r="F219" s="42"/>
      <c r="G219" s="42"/>
      <c r="H219" s="42"/>
      <c r="I219" s="28" t="s">
        <v>175</v>
      </c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30"/>
      <c r="BR219" s="11"/>
    </row>
    <row r="220" spans="1:70" s="1" customFormat="1" ht="15.75" customHeight="1">
      <c r="A220" s="32">
        <v>2</v>
      </c>
      <c r="B220" s="32"/>
      <c r="C220" s="92"/>
      <c r="D220" s="92"/>
      <c r="E220" s="92"/>
      <c r="F220" s="92"/>
      <c r="G220" s="92"/>
      <c r="H220" s="92"/>
      <c r="I220" s="93" t="s">
        <v>40</v>
      </c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4"/>
      <c r="BR220" s="21"/>
    </row>
    <row r="221" spans="1:70" s="2" customFormat="1" ht="31.5" customHeight="1">
      <c r="A221" s="40" t="s">
        <v>44</v>
      </c>
      <c r="B221" s="41"/>
      <c r="C221" s="42"/>
      <c r="D221" s="42"/>
      <c r="E221" s="42"/>
      <c r="F221" s="42"/>
      <c r="G221" s="42"/>
      <c r="H221" s="42"/>
      <c r="I221" s="28" t="s">
        <v>171</v>
      </c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30"/>
      <c r="X221" s="43" t="s">
        <v>27</v>
      </c>
      <c r="Y221" s="43"/>
      <c r="Z221" s="43"/>
      <c r="AA221" s="49" t="s">
        <v>106</v>
      </c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1"/>
      <c r="AM221" s="37">
        <v>380</v>
      </c>
      <c r="AN221" s="37"/>
      <c r="AO221" s="37"/>
      <c r="AP221" s="37"/>
      <c r="AQ221" s="37"/>
      <c r="AR221" s="37"/>
      <c r="AS221" s="37"/>
      <c r="AT221" s="37"/>
      <c r="AU221" s="37"/>
      <c r="AV221" s="37"/>
      <c r="AW221" s="38"/>
      <c r="AX221" s="31">
        <v>420</v>
      </c>
      <c r="AY221" s="31"/>
      <c r="AZ221" s="31"/>
      <c r="BA221" s="31"/>
      <c r="BB221" s="31"/>
      <c r="BC221" s="31"/>
      <c r="BD221" s="31"/>
      <c r="BE221" s="31"/>
      <c r="BF221" s="31"/>
      <c r="BG221" s="31"/>
      <c r="BH221" s="102">
        <f>AX221-AM221</f>
        <v>40</v>
      </c>
      <c r="BI221" s="37"/>
      <c r="BJ221" s="37"/>
      <c r="BK221" s="37"/>
      <c r="BL221" s="37"/>
      <c r="BM221" s="37"/>
      <c r="BN221" s="37"/>
      <c r="BO221" s="37"/>
      <c r="BP221" s="37"/>
      <c r="BQ221" s="37"/>
      <c r="BR221" s="38"/>
    </row>
    <row r="222" spans="1:70" s="2" customFormat="1" ht="36" customHeight="1">
      <c r="A222" s="40" t="s">
        <v>45</v>
      </c>
      <c r="B222" s="41"/>
      <c r="C222" s="42"/>
      <c r="D222" s="42"/>
      <c r="E222" s="42"/>
      <c r="F222" s="42"/>
      <c r="G222" s="42"/>
      <c r="H222" s="42"/>
      <c r="I222" s="28" t="s">
        <v>131</v>
      </c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30"/>
      <c r="X222" s="43" t="s">
        <v>132</v>
      </c>
      <c r="Y222" s="43"/>
      <c r="Z222" s="43"/>
      <c r="AA222" s="52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4"/>
      <c r="AM222" s="37">
        <v>9</v>
      </c>
      <c r="AN222" s="37"/>
      <c r="AO222" s="37"/>
      <c r="AP222" s="37"/>
      <c r="AQ222" s="37"/>
      <c r="AR222" s="37"/>
      <c r="AS222" s="37"/>
      <c r="AT222" s="37"/>
      <c r="AU222" s="37"/>
      <c r="AV222" s="37"/>
      <c r="AW222" s="38"/>
      <c r="AX222" s="31">
        <v>9</v>
      </c>
      <c r="AY222" s="31"/>
      <c r="AZ222" s="31"/>
      <c r="BA222" s="31"/>
      <c r="BB222" s="31"/>
      <c r="BC222" s="31"/>
      <c r="BD222" s="31"/>
      <c r="BE222" s="31"/>
      <c r="BF222" s="31"/>
      <c r="BG222" s="31"/>
      <c r="BH222" s="102">
        <f>AX222-AM222</f>
        <v>0</v>
      </c>
      <c r="BI222" s="37"/>
      <c r="BJ222" s="37"/>
      <c r="BK222" s="37"/>
      <c r="BL222" s="37"/>
      <c r="BM222" s="37"/>
      <c r="BN222" s="37"/>
      <c r="BO222" s="37"/>
      <c r="BP222" s="37"/>
      <c r="BQ222" s="37"/>
      <c r="BR222" s="38"/>
    </row>
    <row r="223" spans="1:70" s="2" customFormat="1" ht="32.25" customHeight="1">
      <c r="A223" s="65"/>
      <c r="B223" s="66"/>
      <c r="C223" s="42"/>
      <c r="D223" s="42"/>
      <c r="E223" s="42"/>
      <c r="F223" s="42"/>
      <c r="G223" s="42"/>
      <c r="H223" s="42"/>
      <c r="I223" s="28" t="s">
        <v>176</v>
      </c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30"/>
      <c r="BR223" s="11"/>
    </row>
    <row r="224" spans="1:70" s="1" customFormat="1" ht="15" customHeight="1">
      <c r="A224" s="32">
        <v>3</v>
      </c>
      <c r="B224" s="32"/>
      <c r="C224" s="33"/>
      <c r="D224" s="34"/>
      <c r="E224" s="34"/>
      <c r="F224" s="34"/>
      <c r="G224" s="34"/>
      <c r="H224" s="35"/>
      <c r="I224" s="95" t="s">
        <v>41</v>
      </c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21"/>
    </row>
    <row r="225" spans="1:70" s="2" customFormat="1" ht="38.25" customHeight="1">
      <c r="A225" s="40" t="s">
        <v>44</v>
      </c>
      <c r="B225" s="41"/>
      <c r="C225" s="42"/>
      <c r="D225" s="42"/>
      <c r="E225" s="42"/>
      <c r="F225" s="42"/>
      <c r="G225" s="42"/>
      <c r="H225" s="42"/>
      <c r="I225" s="28" t="s">
        <v>165</v>
      </c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30"/>
      <c r="X225" s="43" t="s">
        <v>32</v>
      </c>
      <c r="Y225" s="43"/>
      <c r="Z225" s="43"/>
      <c r="AA225" s="39" t="s">
        <v>43</v>
      </c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7">
        <f>AM218/AM221/AM222</f>
        <v>39.94736842105263</v>
      </c>
      <c r="AN225" s="37"/>
      <c r="AO225" s="37"/>
      <c r="AP225" s="37"/>
      <c r="AQ225" s="37"/>
      <c r="AR225" s="37"/>
      <c r="AS225" s="37"/>
      <c r="AT225" s="37"/>
      <c r="AU225" s="37"/>
      <c r="AV225" s="37"/>
      <c r="AW225" s="38"/>
      <c r="AX225" s="31">
        <f>AX218/AX221/AX222</f>
        <v>31.05031746031746</v>
      </c>
      <c r="AY225" s="31"/>
      <c r="AZ225" s="31"/>
      <c r="BA225" s="31"/>
      <c r="BB225" s="31"/>
      <c r="BC225" s="31"/>
      <c r="BD225" s="31"/>
      <c r="BE225" s="31"/>
      <c r="BF225" s="31"/>
      <c r="BG225" s="31"/>
      <c r="BH225" s="102">
        <f>AX225-AM225</f>
        <v>-8.897050960735172</v>
      </c>
      <c r="BI225" s="37"/>
      <c r="BJ225" s="37"/>
      <c r="BK225" s="37"/>
      <c r="BL225" s="37"/>
      <c r="BM225" s="37"/>
      <c r="BN225" s="37"/>
      <c r="BO225" s="37"/>
      <c r="BP225" s="37"/>
      <c r="BQ225" s="37"/>
      <c r="BR225" s="38"/>
    </row>
    <row r="226" spans="1:70" s="2" customFormat="1" ht="24.75" customHeight="1" hidden="1">
      <c r="A226" s="65"/>
      <c r="B226" s="66"/>
      <c r="C226" s="42"/>
      <c r="D226" s="42"/>
      <c r="E226" s="42"/>
      <c r="F226" s="42"/>
      <c r="G226" s="42"/>
      <c r="H226" s="42"/>
      <c r="I226" s="28" t="s">
        <v>170</v>
      </c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30"/>
      <c r="BR226" s="11"/>
    </row>
    <row r="227" spans="1:70" s="9" customFormat="1" ht="16.5" customHeight="1">
      <c r="A227" s="99"/>
      <c r="B227" s="100"/>
      <c r="C227" s="101"/>
      <c r="D227" s="101"/>
      <c r="E227" s="101"/>
      <c r="F227" s="101"/>
      <c r="G227" s="101"/>
      <c r="H227" s="101"/>
      <c r="I227" s="81" t="s">
        <v>177</v>
      </c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3"/>
      <c r="BR227" s="22"/>
    </row>
    <row r="228" spans="1:70" s="1" customFormat="1" ht="12" customHeight="1">
      <c r="A228" s="32">
        <v>1</v>
      </c>
      <c r="B228" s="32"/>
      <c r="C228" s="33"/>
      <c r="D228" s="34"/>
      <c r="E228" s="34"/>
      <c r="F228" s="34"/>
      <c r="G228" s="34"/>
      <c r="H228" s="35"/>
      <c r="I228" s="95" t="s">
        <v>50</v>
      </c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21"/>
    </row>
    <row r="229" spans="1:70" s="1" customFormat="1" ht="21" customHeight="1">
      <c r="A229" s="40" t="s">
        <v>44</v>
      </c>
      <c r="B229" s="41"/>
      <c r="C229" s="42"/>
      <c r="D229" s="42"/>
      <c r="E229" s="42"/>
      <c r="F229" s="42"/>
      <c r="G229" s="42"/>
      <c r="H229" s="42"/>
      <c r="I229" s="28" t="s">
        <v>7</v>
      </c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30"/>
      <c r="X229" s="43" t="s">
        <v>27</v>
      </c>
      <c r="Y229" s="43"/>
      <c r="Z229" s="43"/>
      <c r="AA229" s="39" t="s">
        <v>101</v>
      </c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7">
        <v>8100</v>
      </c>
      <c r="AN229" s="37"/>
      <c r="AO229" s="37"/>
      <c r="AP229" s="37"/>
      <c r="AQ229" s="37"/>
      <c r="AR229" s="37"/>
      <c r="AS229" s="37"/>
      <c r="AT229" s="37"/>
      <c r="AU229" s="37"/>
      <c r="AV229" s="37"/>
      <c r="AW229" s="38"/>
      <c r="AX229" s="31">
        <f>6839.89</f>
        <v>6839.89</v>
      </c>
      <c r="AY229" s="31"/>
      <c r="AZ229" s="31"/>
      <c r="BA229" s="31"/>
      <c r="BB229" s="31"/>
      <c r="BC229" s="31"/>
      <c r="BD229" s="31"/>
      <c r="BE229" s="31"/>
      <c r="BF229" s="31"/>
      <c r="BG229" s="31"/>
      <c r="BH229" s="102">
        <f>AX229-AM229</f>
        <v>-1260.1099999999997</v>
      </c>
      <c r="BI229" s="37"/>
      <c r="BJ229" s="37"/>
      <c r="BK229" s="37"/>
      <c r="BL229" s="37"/>
      <c r="BM229" s="37"/>
      <c r="BN229" s="37"/>
      <c r="BO229" s="37"/>
      <c r="BP229" s="37"/>
      <c r="BQ229" s="37"/>
      <c r="BR229" s="38"/>
    </row>
    <row r="230" spans="1:70" s="2" customFormat="1" ht="30" customHeight="1">
      <c r="A230" s="65"/>
      <c r="B230" s="66"/>
      <c r="C230" s="42"/>
      <c r="D230" s="42"/>
      <c r="E230" s="42"/>
      <c r="F230" s="42"/>
      <c r="G230" s="42"/>
      <c r="H230" s="42"/>
      <c r="I230" s="28" t="s">
        <v>20</v>
      </c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30"/>
      <c r="BR230" s="11"/>
    </row>
    <row r="231" spans="1:70" s="1" customFormat="1" ht="15.75" customHeight="1">
      <c r="A231" s="32">
        <v>2</v>
      </c>
      <c r="B231" s="32"/>
      <c r="C231" s="92"/>
      <c r="D231" s="92"/>
      <c r="E231" s="92"/>
      <c r="F231" s="92"/>
      <c r="G231" s="92"/>
      <c r="H231" s="92"/>
      <c r="I231" s="93" t="s">
        <v>40</v>
      </c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4"/>
      <c r="BR231" s="21"/>
    </row>
    <row r="232" spans="1:70" s="2" customFormat="1" ht="31.5" customHeight="1">
      <c r="A232" s="40" t="s">
        <v>44</v>
      </c>
      <c r="B232" s="41"/>
      <c r="C232" s="42"/>
      <c r="D232" s="42"/>
      <c r="E232" s="42"/>
      <c r="F232" s="42"/>
      <c r="G232" s="42"/>
      <c r="H232" s="42"/>
      <c r="I232" s="28" t="s">
        <v>178</v>
      </c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30"/>
      <c r="X232" s="43" t="s">
        <v>27</v>
      </c>
      <c r="Y232" s="43"/>
      <c r="Z232" s="43"/>
      <c r="AA232" s="49" t="s">
        <v>106</v>
      </c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1"/>
      <c r="AM232" s="37">
        <v>30</v>
      </c>
      <c r="AN232" s="37"/>
      <c r="AO232" s="37"/>
      <c r="AP232" s="37"/>
      <c r="AQ232" s="37"/>
      <c r="AR232" s="37"/>
      <c r="AS232" s="37"/>
      <c r="AT232" s="37"/>
      <c r="AU232" s="37"/>
      <c r="AV232" s="37"/>
      <c r="AW232" s="38"/>
      <c r="AX232" s="31">
        <v>30</v>
      </c>
      <c r="AY232" s="31"/>
      <c r="AZ232" s="31"/>
      <c r="BA232" s="31"/>
      <c r="BB232" s="31"/>
      <c r="BC232" s="31"/>
      <c r="BD232" s="31"/>
      <c r="BE232" s="31"/>
      <c r="BF232" s="31"/>
      <c r="BG232" s="31"/>
      <c r="BH232" s="102">
        <f>AX232-AM232</f>
        <v>0</v>
      </c>
      <c r="BI232" s="37"/>
      <c r="BJ232" s="37"/>
      <c r="BK232" s="37"/>
      <c r="BL232" s="37"/>
      <c r="BM232" s="37"/>
      <c r="BN232" s="37"/>
      <c r="BO232" s="37"/>
      <c r="BP232" s="37"/>
      <c r="BQ232" s="37"/>
      <c r="BR232" s="38"/>
    </row>
    <row r="233" spans="1:70" s="2" customFormat="1" ht="36" customHeight="1">
      <c r="A233" s="40" t="s">
        <v>45</v>
      </c>
      <c r="B233" s="41"/>
      <c r="C233" s="42"/>
      <c r="D233" s="42"/>
      <c r="E233" s="42"/>
      <c r="F233" s="42"/>
      <c r="G233" s="42"/>
      <c r="H233" s="42"/>
      <c r="I233" s="28" t="s">
        <v>131</v>
      </c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30"/>
      <c r="X233" s="43" t="s">
        <v>132</v>
      </c>
      <c r="Y233" s="43"/>
      <c r="Z233" s="43"/>
      <c r="AA233" s="52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4"/>
      <c r="AM233" s="37">
        <v>9</v>
      </c>
      <c r="AN233" s="37"/>
      <c r="AO233" s="37"/>
      <c r="AP233" s="37"/>
      <c r="AQ233" s="37"/>
      <c r="AR233" s="37"/>
      <c r="AS233" s="37"/>
      <c r="AT233" s="37"/>
      <c r="AU233" s="37"/>
      <c r="AV233" s="37"/>
      <c r="AW233" s="38"/>
      <c r="AX233" s="31">
        <v>9</v>
      </c>
      <c r="AY233" s="31"/>
      <c r="AZ233" s="31"/>
      <c r="BA233" s="31"/>
      <c r="BB233" s="31"/>
      <c r="BC233" s="31"/>
      <c r="BD233" s="31"/>
      <c r="BE233" s="31"/>
      <c r="BF233" s="31"/>
      <c r="BG233" s="31"/>
      <c r="BH233" s="102">
        <f>AX233-AM233</f>
        <v>0</v>
      </c>
      <c r="BI233" s="37"/>
      <c r="BJ233" s="37"/>
      <c r="BK233" s="37"/>
      <c r="BL233" s="37"/>
      <c r="BM233" s="37"/>
      <c r="BN233" s="37"/>
      <c r="BO233" s="37"/>
      <c r="BP233" s="37"/>
      <c r="BQ233" s="37"/>
      <c r="BR233" s="38"/>
    </row>
    <row r="234" spans="1:70" s="2" customFormat="1" ht="31.5" customHeight="1" hidden="1">
      <c r="A234" s="65"/>
      <c r="B234" s="66"/>
      <c r="C234" s="42"/>
      <c r="D234" s="42"/>
      <c r="E234" s="42"/>
      <c r="F234" s="42"/>
      <c r="G234" s="42"/>
      <c r="H234" s="42"/>
      <c r="I234" s="28" t="s">
        <v>176</v>
      </c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30"/>
      <c r="BR234" s="11"/>
    </row>
    <row r="235" spans="1:70" s="1" customFormat="1" ht="15" customHeight="1">
      <c r="A235" s="32">
        <v>3</v>
      </c>
      <c r="B235" s="32"/>
      <c r="C235" s="33"/>
      <c r="D235" s="34"/>
      <c r="E235" s="34"/>
      <c r="F235" s="34"/>
      <c r="G235" s="34"/>
      <c r="H235" s="35"/>
      <c r="I235" s="95" t="s">
        <v>41</v>
      </c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21"/>
    </row>
    <row r="236" spans="1:70" s="2" customFormat="1" ht="38.25" customHeight="1">
      <c r="A236" s="40" t="s">
        <v>44</v>
      </c>
      <c r="B236" s="41"/>
      <c r="C236" s="42"/>
      <c r="D236" s="42"/>
      <c r="E236" s="42"/>
      <c r="F236" s="42"/>
      <c r="G236" s="42"/>
      <c r="H236" s="42"/>
      <c r="I236" s="28" t="s">
        <v>179</v>
      </c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30"/>
      <c r="X236" s="43" t="s">
        <v>32</v>
      </c>
      <c r="Y236" s="43"/>
      <c r="Z236" s="43"/>
      <c r="AA236" s="39" t="s">
        <v>43</v>
      </c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7">
        <f>AM229/AM232/AM233</f>
        <v>30</v>
      </c>
      <c r="AN236" s="37"/>
      <c r="AO236" s="37"/>
      <c r="AP236" s="37"/>
      <c r="AQ236" s="37"/>
      <c r="AR236" s="37"/>
      <c r="AS236" s="37"/>
      <c r="AT236" s="37"/>
      <c r="AU236" s="37"/>
      <c r="AV236" s="37"/>
      <c r="AW236" s="38"/>
      <c r="AX236" s="31">
        <f>AX229/AX232/AX233</f>
        <v>25.332925925925927</v>
      </c>
      <c r="AY236" s="31"/>
      <c r="AZ236" s="31"/>
      <c r="BA236" s="31"/>
      <c r="BB236" s="31"/>
      <c r="BC236" s="31"/>
      <c r="BD236" s="31"/>
      <c r="BE236" s="31"/>
      <c r="BF236" s="31"/>
      <c r="BG236" s="31"/>
      <c r="BH236" s="102">
        <f>AX236-AM236</f>
        <v>-4.667074074074073</v>
      </c>
      <c r="BI236" s="37"/>
      <c r="BJ236" s="37"/>
      <c r="BK236" s="37"/>
      <c r="BL236" s="37"/>
      <c r="BM236" s="37"/>
      <c r="BN236" s="37"/>
      <c r="BO236" s="37"/>
      <c r="BP236" s="37"/>
      <c r="BQ236" s="37"/>
      <c r="BR236" s="38"/>
    </row>
    <row r="237" spans="1:70" s="2" customFormat="1" ht="29.25" customHeight="1">
      <c r="A237" s="65"/>
      <c r="B237" s="66"/>
      <c r="C237" s="42"/>
      <c r="D237" s="42"/>
      <c r="E237" s="42"/>
      <c r="F237" s="42"/>
      <c r="G237" s="42"/>
      <c r="H237" s="42"/>
      <c r="I237" s="28" t="s">
        <v>170</v>
      </c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30"/>
      <c r="BR237" s="11"/>
    </row>
    <row r="238" spans="1:70" s="10" customFormat="1" ht="16.5" customHeight="1">
      <c r="A238" s="84"/>
      <c r="B238" s="85"/>
      <c r="C238" s="86"/>
      <c r="D238" s="86"/>
      <c r="E238" s="86"/>
      <c r="F238" s="86"/>
      <c r="G238" s="86"/>
      <c r="H238" s="86"/>
      <c r="I238" s="81" t="s">
        <v>378</v>
      </c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3"/>
      <c r="BR238" s="12"/>
    </row>
    <row r="239" spans="1:70" s="10" customFormat="1" ht="16.5" customHeight="1">
      <c r="A239" s="84"/>
      <c r="B239" s="85"/>
      <c r="C239" s="86"/>
      <c r="D239" s="86"/>
      <c r="E239" s="86"/>
      <c r="F239" s="86"/>
      <c r="G239" s="86"/>
      <c r="H239" s="86"/>
      <c r="I239" s="81" t="s">
        <v>180</v>
      </c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3"/>
      <c r="BR239" s="12"/>
    </row>
    <row r="240" spans="1:70" s="1" customFormat="1" ht="12" customHeight="1">
      <c r="A240" s="32">
        <v>1</v>
      </c>
      <c r="B240" s="32"/>
      <c r="C240" s="33"/>
      <c r="D240" s="34"/>
      <c r="E240" s="34"/>
      <c r="F240" s="34"/>
      <c r="G240" s="34"/>
      <c r="H240" s="35"/>
      <c r="I240" s="95" t="s">
        <v>50</v>
      </c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21"/>
    </row>
    <row r="241" spans="1:70" s="1" customFormat="1" ht="21" customHeight="1">
      <c r="A241" s="40" t="s">
        <v>44</v>
      </c>
      <c r="B241" s="41"/>
      <c r="C241" s="42"/>
      <c r="D241" s="42"/>
      <c r="E241" s="42"/>
      <c r="F241" s="42"/>
      <c r="G241" s="42"/>
      <c r="H241" s="42"/>
      <c r="I241" s="28" t="s">
        <v>7</v>
      </c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30"/>
      <c r="X241" s="43" t="s">
        <v>27</v>
      </c>
      <c r="Y241" s="43"/>
      <c r="Z241" s="43"/>
      <c r="AA241" s="39" t="s">
        <v>101</v>
      </c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7">
        <v>36000</v>
      </c>
      <c r="AN241" s="37"/>
      <c r="AO241" s="37"/>
      <c r="AP241" s="37"/>
      <c r="AQ241" s="37"/>
      <c r="AR241" s="37"/>
      <c r="AS241" s="37"/>
      <c r="AT241" s="37"/>
      <c r="AU241" s="37"/>
      <c r="AV241" s="37"/>
      <c r="AW241" s="38"/>
      <c r="AX241" s="31">
        <f>35140.03</f>
        <v>35140.03</v>
      </c>
      <c r="AY241" s="31"/>
      <c r="AZ241" s="31"/>
      <c r="BA241" s="31"/>
      <c r="BB241" s="31"/>
      <c r="BC241" s="31"/>
      <c r="BD241" s="31"/>
      <c r="BE241" s="31"/>
      <c r="BF241" s="31"/>
      <c r="BG241" s="31"/>
      <c r="BH241" s="102">
        <f>AX241-AM241</f>
        <v>-859.9700000000012</v>
      </c>
      <c r="BI241" s="37"/>
      <c r="BJ241" s="37"/>
      <c r="BK241" s="37"/>
      <c r="BL241" s="37"/>
      <c r="BM241" s="37"/>
      <c r="BN241" s="37"/>
      <c r="BO241" s="37"/>
      <c r="BP241" s="37"/>
      <c r="BQ241" s="37"/>
      <c r="BR241" s="38"/>
    </row>
    <row r="242" spans="1:70" s="2" customFormat="1" ht="28.5" customHeight="1">
      <c r="A242" s="65"/>
      <c r="B242" s="66"/>
      <c r="C242" s="42"/>
      <c r="D242" s="42"/>
      <c r="E242" s="42"/>
      <c r="F242" s="42"/>
      <c r="G242" s="42"/>
      <c r="H242" s="42"/>
      <c r="I242" s="28" t="s">
        <v>20</v>
      </c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30"/>
      <c r="BR242" s="11"/>
    </row>
    <row r="243" spans="1:70" s="1" customFormat="1" ht="15.75" customHeight="1">
      <c r="A243" s="32">
        <v>2</v>
      </c>
      <c r="B243" s="32"/>
      <c r="C243" s="92"/>
      <c r="D243" s="92"/>
      <c r="E243" s="92"/>
      <c r="F243" s="92"/>
      <c r="G243" s="92"/>
      <c r="H243" s="92"/>
      <c r="I243" s="93" t="s">
        <v>40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4"/>
      <c r="BR243" s="21"/>
    </row>
    <row r="244" spans="1:70" s="2" customFormat="1" ht="75" customHeight="1">
      <c r="A244" s="40" t="s">
        <v>44</v>
      </c>
      <c r="B244" s="41"/>
      <c r="C244" s="42"/>
      <c r="D244" s="42"/>
      <c r="E244" s="42"/>
      <c r="F244" s="42"/>
      <c r="G244" s="42"/>
      <c r="H244" s="42"/>
      <c r="I244" s="28" t="s">
        <v>181</v>
      </c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30"/>
      <c r="X244" s="43" t="s">
        <v>27</v>
      </c>
      <c r="Y244" s="43"/>
      <c r="Z244" s="43"/>
      <c r="AA244" s="49" t="s">
        <v>106</v>
      </c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1"/>
      <c r="AM244" s="37">
        <v>300</v>
      </c>
      <c r="AN244" s="37"/>
      <c r="AO244" s="37"/>
      <c r="AP244" s="37"/>
      <c r="AQ244" s="37"/>
      <c r="AR244" s="37"/>
      <c r="AS244" s="37"/>
      <c r="AT244" s="37"/>
      <c r="AU244" s="37"/>
      <c r="AV244" s="37"/>
      <c r="AW244" s="38"/>
      <c r="AX244" s="31">
        <v>300</v>
      </c>
      <c r="AY244" s="31"/>
      <c r="AZ244" s="31"/>
      <c r="BA244" s="31"/>
      <c r="BB244" s="31"/>
      <c r="BC244" s="31"/>
      <c r="BD244" s="31"/>
      <c r="BE244" s="31"/>
      <c r="BF244" s="31"/>
      <c r="BG244" s="31"/>
      <c r="BH244" s="102">
        <f>AX244-AM244</f>
        <v>0</v>
      </c>
      <c r="BI244" s="37"/>
      <c r="BJ244" s="37"/>
      <c r="BK244" s="37"/>
      <c r="BL244" s="37"/>
      <c r="BM244" s="37"/>
      <c r="BN244" s="37"/>
      <c r="BO244" s="37"/>
      <c r="BP244" s="37"/>
      <c r="BQ244" s="37"/>
      <c r="BR244" s="38"/>
    </row>
    <row r="245" spans="1:70" s="2" customFormat="1" ht="36" customHeight="1" hidden="1">
      <c r="A245" s="40" t="s">
        <v>45</v>
      </c>
      <c r="B245" s="41"/>
      <c r="C245" s="42"/>
      <c r="D245" s="42"/>
      <c r="E245" s="42"/>
      <c r="F245" s="42"/>
      <c r="G245" s="42"/>
      <c r="H245" s="42"/>
      <c r="I245" s="28" t="s">
        <v>131</v>
      </c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30"/>
      <c r="X245" s="43" t="s">
        <v>132</v>
      </c>
      <c r="Y245" s="43"/>
      <c r="Z245" s="43"/>
      <c r="AA245" s="52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4"/>
      <c r="AM245" s="37">
        <v>12</v>
      </c>
      <c r="AN245" s="37"/>
      <c r="AO245" s="37"/>
      <c r="AP245" s="37"/>
      <c r="AQ245" s="37"/>
      <c r="AR245" s="37"/>
      <c r="AS245" s="37"/>
      <c r="AT245" s="37"/>
      <c r="AU245" s="37"/>
      <c r="AV245" s="37"/>
      <c r="AW245" s="38"/>
      <c r="AX245" s="31">
        <v>12</v>
      </c>
      <c r="AY245" s="31"/>
      <c r="AZ245" s="31"/>
      <c r="BA245" s="31"/>
      <c r="BB245" s="31"/>
      <c r="BC245" s="31"/>
      <c r="BD245" s="31"/>
      <c r="BE245" s="31"/>
      <c r="BF245" s="31"/>
      <c r="BG245" s="31"/>
      <c r="BH245" s="37">
        <f>AX245-AM245</f>
        <v>0</v>
      </c>
      <c r="BI245" s="37"/>
      <c r="BJ245" s="37"/>
      <c r="BK245" s="37"/>
      <c r="BL245" s="37"/>
      <c r="BM245" s="37"/>
      <c r="BN245" s="37"/>
      <c r="BO245" s="37"/>
      <c r="BP245" s="37"/>
      <c r="BQ245" s="38"/>
      <c r="BR245" s="11"/>
    </row>
    <row r="246" spans="1:70" s="2" customFormat="1" ht="22.5" customHeight="1" hidden="1">
      <c r="A246" s="65"/>
      <c r="B246" s="66"/>
      <c r="C246" s="42"/>
      <c r="D246" s="42"/>
      <c r="E246" s="42"/>
      <c r="F246" s="42"/>
      <c r="G246" s="42"/>
      <c r="H246" s="42"/>
      <c r="I246" s="28" t="s">
        <v>162</v>
      </c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30"/>
      <c r="BR246" s="11"/>
    </row>
    <row r="247" spans="1:70" s="1" customFormat="1" ht="15" customHeight="1">
      <c r="A247" s="32">
        <v>3</v>
      </c>
      <c r="B247" s="32"/>
      <c r="C247" s="33"/>
      <c r="D247" s="34"/>
      <c r="E247" s="34"/>
      <c r="F247" s="34"/>
      <c r="G247" s="34"/>
      <c r="H247" s="35"/>
      <c r="I247" s="95" t="s">
        <v>41</v>
      </c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21"/>
    </row>
    <row r="248" spans="1:70" s="2" customFormat="1" ht="38.25" customHeight="1">
      <c r="A248" s="40" t="s">
        <v>44</v>
      </c>
      <c r="B248" s="41"/>
      <c r="C248" s="42"/>
      <c r="D248" s="42"/>
      <c r="E248" s="42"/>
      <c r="F248" s="42"/>
      <c r="G248" s="42"/>
      <c r="H248" s="42"/>
      <c r="I248" s="28" t="s">
        <v>182</v>
      </c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30"/>
      <c r="X248" s="43" t="s">
        <v>32</v>
      </c>
      <c r="Y248" s="43"/>
      <c r="Z248" s="43"/>
      <c r="AA248" s="39" t="s">
        <v>43</v>
      </c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7">
        <f>AM241/AM244</f>
        <v>120</v>
      </c>
      <c r="AN248" s="37"/>
      <c r="AO248" s="37"/>
      <c r="AP248" s="37"/>
      <c r="AQ248" s="37"/>
      <c r="AR248" s="37"/>
      <c r="AS248" s="37"/>
      <c r="AT248" s="37"/>
      <c r="AU248" s="37"/>
      <c r="AV248" s="37"/>
      <c r="AW248" s="38"/>
      <c r="AX248" s="31">
        <f>AX241/AX244</f>
        <v>117.13343333333333</v>
      </c>
      <c r="AY248" s="31"/>
      <c r="AZ248" s="31"/>
      <c r="BA248" s="31"/>
      <c r="BB248" s="31"/>
      <c r="BC248" s="31"/>
      <c r="BD248" s="31"/>
      <c r="BE248" s="31"/>
      <c r="BF248" s="31"/>
      <c r="BG248" s="31"/>
      <c r="BH248" s="102">
        <f>AX248-AM248</f>
        <v>-2.866566666666671</v>
      </c>
      <c r="BI248" s="37"/>
      <c r="BJ248" s="37"/>
      <c r="BK248" s="37"/>
      <c r="BL248" s="37"/>
      <c r="BM248" s="37"/>
      <c r="BN248" s="37"/>
      <c r="BO248" s="37"/>
      <c r="BP248" s="37"/>
      <c r="BQ248" s="37"/>
      <c r="BR248" s="38"/>
    </row>
    <row r="249" spans="1:70" s="2" customFormat="1" ht="36.75" customHeight="1">
      <c r="A249" s="65"/>
      <c r="B249" s="66"/>
      <c r="C249" s="42"/>
      <c r="D249" s="42"/>
      <c r="E249" s="42"/>
      <c r="F249" s="42"/>
      <c r="G249" s="42"/>
      <c r="H249" s="42"/>
      <c r="I249" s="28" t="s">
        <v>183</v>
      </c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30"/>
      <c r="BR249" s="11"/>
    </row>
    <row r="250" spans="1:70" s="2" customFormat="1" ht="16.5" customHeight="1">
      <c r="A250" s="65"/>
      <c r="B250" s="66"/>
      <c r="C250" s="42"/>
      <c r="D250" s="42"/>
      <c r="E250" s="42"/>
      <c r="F250" s="42"/>
      <c r="G250" s="42"/>
      <c r="H250" s="42"/>
      <c r="I250" s="81" t="s">
        <v>184</v>
      </c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3"/>
      <c r="BR250" s="11"/>
    </row>
    <row r="251" spans="1:70" s="1" customFormat="1" ht="12" customHeight="1">
      <c r="A251" s="32">
        <v>1</v>
      </c>
      <c r="B251" s="32"/>
      <c r="C251" s="33"/>
      <c r="D251" s="34"/>
      <c r="E251" s="34"/>
      <c r="F251" s="34"/>
      <c r="G251" s="34"/>
      <c r="H251" s="35"/>
      <c r="I251" s="95" t="s">
        <v>50</v>
      </c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21"/>
    </row>
    <row r="252" spans="1:70" s="1" customFormat="1" ht="21" customHeight="1">
      <c r="A252" s="40" t="s">
        <v>44</v>
      </c>
      <c r="B252" s="41"/>
      <c r="C252" s="42"/>
      <c r="D252" s="42"/>
      <c r="E252" s="42"/>
      <c r="F252" s="42"/>
      <c r="G252" s="42"/>
      <c r="H252" s="42"/>
      <c r="I252" s="28" t="s">
        <v>7</v>
      </c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30"/>
      <c r="X252" s="43" t="s">
        <v>27</v>
      </c>
      <c r="Y252" s="43"/>
      <c r="Z252" s="43"/>
      <c r="AA252" s="39" t="s">
        <v>101</v>
      </c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7">
        <v>153000</v>
      </c>
      <c r="AN252" s="37"/>
      <c r="AO252" s="37"/>
      <c r="AP252" s="37"/>
      <c r="AQ252" s="37"/>
      <c r="AR252" s="37"/>
      <c r="AS252" s="37"/>
      <c r="AT252" s="37"/>
      <c r="AU252" s="37"/>
      <c r="AV252" s="37"/>
      <c r="AW252" s="38"/>
      <c r="AX252" s="31">
        <f>129248.55</f>
        <v>129248.55</v>
      </c>
      <c r="AY252" s="31"/>
      <c r="AZ252" s="31"/>
      <c r="BA252" s="31"/>
      <c r="BB252" s="31"/>
      <c r="BC252" s="31"/>
      <c r="BD252" s="31"/>
      <c r="BE252" s="31"/>
      <c r="BF252" s="31"/>
      <c r="BG252" s="31"/>
      <c r="BH252" s="102">
        <f>AX252-AM252</f>
        <v>-23751.449999999997</v>
      </c>
      <c r="BI252" s="37"/>
      <c r="BJ252" s="37"/>
      <c r="BK252" s="37"/>
      <c r="BL252" s="37"/>
      <c r="BM252" s="37"/>
      <c r="BN252" s="37"/>
      <c r="BO252" s="37"/>
      <c r="BP252" s="37"/>
      <c r="BQ252" s="37"/>
      <c r="BR252" s="38"/>
    </row>
    <row r="253" spans="1:70" s="2" customFormat="1" ht="31.5" customHeight="1">
      <c r="A253" s="65"/>
      <c r="B253" s="66"/>
      <c r="C253" s="42"/>
      <c r="D253" s="42"/>
      <c r="E253" s="42"/>
      <c r="F253" s="42"/>
      <c r="G253" s="42"/>
      <c r="H253" s="42"/>
      <c r="I253" s="28" t="s">
        <v>20</v>
      </c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30"/>
      <c r="BR253" s="11"/>
    </row>
    <row r="254" spans="1:70" s="1" customFormat="1" ht="15.75" customHeight="1">
      <c r="A254" s="32">
        <v>2</v>
      </c>
      <c r="B254" s="32"/>
      <c r="C254" s="92"/>
      <c r="D254" s="92"/>
      <c r="E254" s="92"/>
      <c r="F254" s="92"/>
      <c r="G254" s="92"/>
      <c r="H254" s="92"/>
      <c r="I254" s="93" t="s">
        <v>40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4"/>
      <c r="BR254" s="21"/>
    </row>
    <row r="255" spans="1:70" s="2" customFormat="1" ht="60" customHeight="1">
      <c r="A255" s="40" t="s">
        <v>44</v>
      </c>
      <c r="B255" s="41"/>
      <c r="C255" s="42"/>
      <c r="D255" s="42"/>
      <c r="E255" s="42"/>
      <c r="F255" s="42"/>
      <c r="G255" s="42"/>
      <c r="H255" s="42"/>
      <c r="I255" s="28" t="s">
        <v>185</v>
      </c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30"/>
      <c r="X255" s="43" t="s">
        <v>27</v>
      </c>
      <c r="Y255" s="43"/>
      <c r="Z255" s="43"/>
      <c r="AA255" s="49" t="s">
        <v>106</v>
      </c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1"/>
      <c r="AM255" s="37">
        <v>30</v>
      </c>
      <c r="AN255" s="37"/>
      <c r="AO255" s="37"/>
      <c r="AP255" s="37"/>
      <c r="AQ255" s="37"/>
      <c r="AR255" s="37"/>
      <c r="AS255" s="37"/>
      <c r="AT255" s="37"/>
      <c r="AU255" s="37"/>
      <c r="AV255" s="37"/>
      <c r="AW255" s="38"/>
      <c r="AX255" s="31">
        <v>30</v>
      </c>
      <c r="AY255" s="31"/>
      <c r="AZ255" s="31"/>
      <c r="BA255" s="31"/>
      <c r="BB255" s="31"/>
      <c r="BC255" s="31"/>
      <c r="BD255" s="31"/>
      <c r="BE255" s="31"/>
      <c r="BF255" s="31"/>
      <c r="BG255" s="31"/>
      <c r="BH255" s="102">
        <f>AX255-AM255</f>
        <v>0</v>
      </c>
      <c r="BI255" s="37"/>
      <c r="BJ255" s="37"/>
      <c r="BK255" s="37"/>
      <c r="BL255" s="37"/>
      <c r="BM255" s="37"/>
      <c r="BN255" s="37"/>
      <c r="BO255" s="37"/>
      <c r="BP255" s="37"/>
      <c r="BQ255" s="37"/>
      <c r="BR255" s="38"/>
    </row>
    <row r="256" spans="1:70" s="2" customFormat="1" ht="24" customHeight="1">
      <c r="A256" s="40" t="s">
        <v>45</v>
      </c>
      <c r="B256" s="41"/>
      <c r="C256" s="42"/>
      <c r="D256" s="42"/>
      <c r="E256" s="42"/>
      <c r="F256" s="42"/>
      <c r="G256" s="42"/>
      <c r="H256" s="42"/>
      <c r="I256" s="28" t="s">
        <v>131</v>
      </c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30"/>
      <c r="X256" s="43" t="s">
        <v>132</v>
      </c>
      <c r="Y256" s="43"/>
      <c r="Z256" s="43"/>
      <c r="AA256" s="52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4"/>
      <c r="AM256" s="37">
        <v>9</v>
      </c>
      <c r="AN256" s="37"/>
      <c r="AO256" s="37"/>
      <c r="AP256" s="37"/>
      <c r="AQ256" s="37"/>
      <c r="AR256" s="37"/>
      <c r="AS256" s="37"/>
      <c r="AT256" s="37"/>
      <c r="AU256" s="37"/>
      <c r="AV256" s="37"/>
      <c r="AW256" s="38"/>
      <c r="AX256" s="31">
        <v>9</v>
      </c>
      <c r="AY256" s="31"/>
      <c r="AZ256" s="31"/>
      <c r="BA256" s="31"/>
      <c r="BB256" s="31"/>
      <c r="BC256" s="31"/>
      <c r="BD256" s="31"/>
      <c r="BE256" s="31"/>
      <c r="BF256" s="31"/>
      <c r="BG256" s="31"/>
      <c r="BH256" s="102">
        <f>AX256-AM256</f>
        <v>0</v>
      </c>
      <c r="BI256" s="37"/>
      <c r="BJ256" s="37"/>
      <c r="BK256" s="37"/>
      <c r="BL256" s="37"/>
      <c r="BM256" s="37"/>
      <c r="BN256" s="37"/>
      <c r="BO256" s="37"/>
      <c r="BP256" s="37"/>
      <c r="BQ256" s="37"/>
      <c r="BR256" s="38"/>
    </row>
    <row r="257" spans="1:70" s="2" customFormat="1" ht="33" customHeight="1" hidden="1">
      <c r="A257" s="65"/>
      <c r="B257" s="66"/>
      <c r="C257" s="42"/>
      <c r="D257" s="42"/>
      <c r="E257" s="42"/>
      <c r="F257" s="42"/>
      <c r="G257" s="42"/>
      <c r="H257" s="42"/>
      <c r="I257" s="28" t="s">
        <v>162</v>
      </c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30"/>
      <c r="BR257" s="11"/>
    </row>
    <row r="258" spans="1:70" s="1" customFormat="1" ht="15" customHeight="1">
      <c r="A258" s="32">
        <v>3</v>
      </c>
      <c r="B258" s="32"/>
      <c r="C258" s="33"/>
      <c r="D258" s="34"/>
      <c r="E258" s="34"/>
      <c r="F258" s="34"/>
      <c r="G258" s="34"/>
      <c r="H258" s="35"/>
      <c r="I258" s="95" t="s">
        <v>41</v>
      </c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21"/>
    </row>
    <row r="259" spans="1:70" s="2" customFormat="1" ht="38.25" customHeight="1">
      <c r="A259" s="40" t="s">
        <v>44</v>
      </c>
      <c r="B259" s="41"/>
      <c r="C259" s="42"/>
      <c r="D259" s="42"/>
      <c r="E259" s="42"/>
      <c r="F259" s="42"/>
      <c r="G259" s="42"/>
      <c r="H259" s="42"/>
      <c r="I259" s="28" t="s">
        <v>182</v>
      </c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30"/>
      <c r="X259" s="43" t="s">
        <v>32</v>
      </c>
      <c r="Y259" s="43"/>
      <c r="Z259" s="43"/>
      <c r="AA259" s="39" t="s">
        <v>43</v>
      </c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7">
        <f>AM252/AM255/AM256</f>
        <v>566.6666666666666</v>
      </c>
      <c r="AN259" s="37"/>
      <c r="AO259" s="37"/>
      <c r="AP259" s="37"/>
      <c r="AQ259" s="37"/>
      <c r="AR259" s="37"/>
      <c r="AS259" s="37"/>
      <c r="AT259" s="37"/>
      <c r="AU259" s="37"/>
      <c r="AV259" s="37"/>
      <c r="AW259" s="38"/>
      <c r="AX259" s="31">
        <f>AX252/AX255/AX256</f>
        <v>478.6983333333333</v>
      </c>
      <c r="AY259" s="31"/>
      <c r="AZ259" s="31"/>
      <c r="BA259" s="31"/>
      <c r="BB259" s="31"/>
      <c r="BC259" s="31"/>
      <c r="BD259" s="31"/>
      <c r="BE259" s="31"/>
      <c r="BF259" s="31"/>
      <c r="BG259" s="31"/>
      <c r="BH259" s="102">
        <f>AX259-AM259</f>
        <v>-87.9683333333333</v>
      </c>
      <c r="BI259" s="37"/>
      <c r="BJ259" s="37"/>
      <c r="BK259" s="37"/>
      <c r="BL259" s="37"/>
      <c r="BM259" s="37"/>
      <c r="BN259" s="37"/>
      <c r="BO259" s="37"/>
      <c r="BP259" s="37"/>
      <c r="BQ259" s="37"/>
      <c r="BR259" s="38"/>
    </row>
    <row r="260" spans="1:70" s="2" customFormat="1" ht="32.25" customHeight="1">
      <c r="A260" s="65"/>
      <c r="B260" s="66"/>
      <c r="C260" s="42"/>
      <c r="D260" s="42"/>
      <c r="E260" s="42"/>
      <c r="F260" s="42"/>
      <c r="G260" s="42"/>
      <c r="H260" s="42"/>
      <c r="I260" s="28" t="s">
        <v>183</v>
      </c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30"/>
      <c r="BR260" s="11"/>
    </row>
    <row r="261" spans="1:70" s="10" customFormat="1" ht="16.5" customHeight="1">
      <c r="A261" s="84"/>
      <c r="B261" s="85"/>
      <c r="C261" s="86"/>
      <c r="D261" s="86"/>
      <c r="E261" s="86"/>
      <c r="F261" s="86"/>
      <c r="G261" s="86"/>
      <c r="H261" s="86"/>
      <c r="I261" s="81" t="s">
        <v>92</v>
      </c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3"/>
      <c r="BR261" s="12"/>
    </row>
    <row r="262" spans="1:70" s="10" customFormat="1" ht="16.5" customHeight="1">
      <c r="A262" s="84"/>
      <c r="B262" s="85"/>
      <c r="C262" s="86"/>
      <c r="D262" s="86"/>
      <c r="E262" s="86"/>
      <c r="F262" s="86"/>
      <c r="G262" s="86"/>
      <c r="H262" s="86"/>
      <c r="I262" s="81" t="s">
        <v>186</v>
      </c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3"/>
      <c r="BR262" s="12"/>
    </row>
    <row r="263" spans="1:70" s="1" customFormat="1" ht="12" customHeight="1">
      <c r="A263" s="32">
        <v>1</v>
      </c>
      <c r="B263" s="32"/>
      <c r="C263" s="33"/>
      <c r="D263" s="34"/>
      <c r="E263" s="34"/>
      <c r="F263" s="34"/>
      <c r="G263" s="34"/>
      <c r="H263" s="35"/>
      <c r="I263" s="95" t="s">
        <v>50</v>
      </c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21"/>
    </row>
    <row r="264" spans="1:70" s="1" customFormat="1" ht="21" customHeight="1">
      <c r="A264" s="40" t="s">
        <v>44</v>
      </c>
      <c r="B264" s="41"/>
      <c r="C264" s="42"/>
      <c r="D264" s="42"/>
      <c r="E264" s="42"/>
      <c r="F264" s="42"/>
      <c r="G264" s="42"/>
      <c r="H264" s="42"/>
      <c r="I264" s="28" t="s">
        <v>7</v>
      </c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30"/>
      <c r="X264" s="43" t="s">
        <v>27</v>
      </c>
      <c r="Y264" s="43"/>
      <c r="Z264" s="43"/>
      <c r="AA264" s="39" t="s">
        <v>101</v>
      </c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7">
        <v>189000</v>
      </c>
      <c r="AN264" s="37"/>
      <c r="AO264" s="37"/>
      <c r="AP264" s="37"/>
      <c r="AQ264" s="37"/>
      <c r="AR264" s="37"/>
      <c r="AS264" s="37"/>
      <c r="AT264" s="37"/>
      <c r="AU264" s="37"/>
      <c r="AV264" s="37"/>
      <c r="AW264" s="38"/>
      <c r="AX264" s="31">
        <f>160036.19</f>
        <v>160036.19</v>
      </c>
      <c r="AY264" s="31"/>
      <c r="AZ264" s="31"/>
      <c r="BA264" s="31"/>
      <c r="BB264" s="31"/>
      <c r="BC264" s="31"/>
      <c r="BD264" s="31"/>
      <c r="BE264" s="31"/>
      <c r="BF264" s="31"/>
      <c r="BG264" s="31"/>
      <c r="BH264" s="102">
        <f>AX264-AM264</f>
        <v>-28963.809999999998</v>
      </c>
      <c r="BI264" s="37"/>
      <c r="BJ264" s="37"/>
      <c r="BK264" s="37"/>
      <c r="BL264" s="37"/>
      <c r="BM264" s="37"/>
      <c r="BN264" s="37"/>
      <c r="BO264" s="37"/>
      <c r="BP264" s="37"/>
      <c r="BQ264" s="37"/>
      <c r="BR264" s="38"/>
    </row>
    <row r="265" spans="1:70" s="2" customFormat="1" ht="27" customHeight="1">
      <c r="A265" s="65"/>
      <c r="B265" s="66"/>
      <c r="C265" s="42"/>
      <c r="D265" s="42"/>
      <c r="E265" s="42"/>
      <c r="F265" s="42"/>
      <c r="G265" s="42"/>
      <c r="H265" s="42"/>
      <c r="I265" s="28" t="s">
        <v>20</v>
      </c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30"/>
      <c r="BR265" s="11"/>
    </row>
    <row r="266" spans="1:70" s="1" customFormat="1" ht="15.75" customHeight="1">
      <c r="A266" s="32">
        <v>2</v>
      </c>
      <c r="B266" s="32"/>
      <c r="C266" s="92"/>
      <c r="D266" s="92"/>
      <c r="E266" s="92"/>
      <c r="F266" s="92"/>
      <c r="G266" s="92"/>
      <c r="H266" s="92"/>
      <c r="I266" s="93" t="s">
        <v>40</v>
      </c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4"/>
      <c r="BR266" s="21"/>
    </row>
    <row r="267" spans="1:70" s="2" customFormat="1" ht="60" customHeight="1">
      <c r="A267" s="40" t="s">
        <v>44</v>
      </c>
      <c r="B267" s="41"/>
      <c r="C267" s="42"/>
      <c r="D267" s="42"/>
      <c r="E267" s="42"/>
      <c r="F267" s="42"/>
      <c r="G267" s="42"/>
      <c r="H267" s="42"/>
      <c r="I267" s="28" t="s">
        <v>187</v>
      </c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30"/>
      <c r="X267" s="43" t="s">
        <v>27</v>
      </c>
      <c r="Y267" s="43"/>
      <c r="Z267" s="43"/>
      <c r="AA267" s="49" t="s">
        <v>106</v>
      </c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1"/>
      <c r="AM267" s="37">
        <v>5</v>
      </c>
      <c r="AN267" s="37"/>
      <c r="AO267" s="37"/>
      <c r="AP267" s="37"/>
      <c r="AQ267" s="37"/>
      <c r="AR267" s="37"/>
      <c r="AS267" s="37"/>
      <c r="AT267" s="37"/>
      <c r="AU267" s="37"/>
      <c r="AV267" s="37"/>
      <c r="AW267" s="38"/>
      <c r="AX267" s="31">
        <v>6</v>
      </c>
      <c r="AY267" s="31"/>
      <c r="AZ267" s="31"/>
      <c r="BA267" s="31"/>
      <c r="BB267" s="31"/>
      <c r="BC267" s="31"/>
      <c r="BD267" s="31"/>
      <c r="BE267" s="31"/>
      <c r="BF267" s="31"/>
      <c r="BG267" s="31"/>
      <c r="BH267" s="102">
        <f>AX267-AM267</f>
        <v>1</v>
      </c>
      <c r="BI267" s="37"/>
      <c r="BJ267" s="37"/>
      <c r="BK267" s="37"/>
      <c r="BL267" s="37"/>
      <c r="BM267" s="37"/>
      <c r="BN267" s="37"/>
      <c r="BO267" s="37"/>
      <c r="BP267" s="37"/>
      <c r="BQ267" s="37"/>
      <c r="BR267" s="38"/>
    </row>
    <row r="268" spans="1:70" s="2" customFormat="1" ht="27" customHeight="1">
      <c r="A268" s="40" t="s">
        <v>45</v>
      </c>
      <c r="B268" s="41"/>
      <c r="C268" s="42"/>
      <c r="D268" s="42"/>
      <c r="E268" s="42"/>
      <c r="F268" s="42"/>
      <c r="G268" s="42"/>
      <c r="H268" s="42"/>
      <c r="I268" s="28" t="s">
        <v>131</v>
      </c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30"/>
      <c r="X268" s="43" t="s">
        <v>132</v>
      </c>
      <c r="Y268" s="43"/>
      <c r="Z268" s="43"/>
      <c r="AA268" s="52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4"/>
      <c r="AM268" s="37">
        <v>12</v>
      </c>
      <c r="AN268" s="37"/>
      <c r="AO268" s="37"/>
      <c r="AP268" s="37"/>
      <c r="AQ268" s="37"/>
      <c r="AR268" s="37"/>
      <c r="AS268" s="37"/>
      <c r="AT268" s="37"/>
      <c r="AU268" s="37"/>
      <c r="AV268" s="37"/>
      <c r="AW268" s="38"/>
      <c r="AX268" s="31">
        <v>12</v>
      </c>
      <c r="AY268" s="31"/>
      <c r="AZ268" s="31"/>
      <c r="BA268" s="31"/>
      <c r="BB268" s="31"/>
      <c r="BC268" s="31"/>
      <c r="BD268" s="31"/>
      <c r="BE268" s="31"/>
      <c r="BF268" s="31"/>
      <c r="BG268" s="31"/>
      <c r="BH268" s="102">
        <f>AX268-AM268</f>
        <v>0</v>
      </c>
      <c r="BI268" s="37"/>
      <c r="BJ268" s="37"/>
      <c r="BK268" s="37"/>
      <c r="BL268" s="37"/>
      <c r="BM268" s="37"/>
      <c r="BN268" s="37"/>
      <c r="BO268" s="37"/>
      <c r="BP268" s="37"/>
      <c r="BQ268" s="37"/>
      <c r="BR268" s="38"/>
    </row>
    <row r="269" spans="1:70" s="2" customFormat="1" ht="33" customHeight="1">
      <c r="A269" s="65"/>
      <c r="B269" s="66"/>
      <c r="C269" s="42"/>
      <c r="D269" s="42"/>
      <c r="E269" s="42"/>
      <c r="F269" s="42"/>
      <c r="G269" s="42"/>
      <c r="H269" s="42"/>
      <c r="I269" s="28" t="s">
        <v>393</v>
      </c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30"/>
      <c r="BR269" s="11"/>
    </row>
    <row r="270" spans="1:70" s="1" customFormat="1" ht="15" customHeight="1">
      <c r="A270" s="32">
        <v>3</v>
      </c>
      <c r="B270" s="32"/>
      <c r="C270" s="33"/>
      <c r="D270" s="34"/>
      <c r="E270" s="34"/>
      <c r="F270" s="34"/>
      <c r="G270" s="34"/>
      <c r="H270" s="35"/>
      <c r="I270" s="95" t="s">
        <v>41</v>
      </c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21"/>
    </row>
    <row r="271" spans="1:70" s="2" customFormat="1" ht="38.25" customHeight="1">
      <c r="A271" s="40" t="s">
        <v>44</v>
      </c>
      <c r="B271" s="41"/>
      <c r="C271" s="42"/>
      <c r="D271" s="42"/>
      <c r="E271" s="42"/>
      <c r="F271" s="42"/>
      <c r="G271" s="42"/>
      <c r="H271" s="42"/>
      <c r="I271" s="28" t="s">
        <v>188</v>
      </c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30"/>
      <c r="X271" s="43" t="s">
        <v>32</v>
      </c>
      <c r="Y271" s="43"/>
      <c r="Z271" s="43"/>
      <c r="AA271" s="39" t="s">
        <v>43</v>
      </c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7">
        <f>AM264/AM267/AM268</f>
        <v>3150</v>
      </c>
      <c r="AN271" s="37"/>
      <c r="AO271" s="37"/>
      <c r="AP271" s="37"/>
      <c r="AQ271" s="37"/>
      <c r="AR271" s="37"/>
      <c r="AS271" s="37"/>
      <c r="AT271" s="37"/>
      <c r="AU271" s="37"/>
      <c r="AV271" s="37"/>
      <c r="AW271" s="38"/>
      <c r="AX271" s="31">
        <f>AX264/AX267/AX268</f>
        <v>2222.7248611111113</v>
      </c>
      <c r="AY271" s="31"/>
      <c r="AZ271" s="31"/>
      <c r="BA271" s="31"/>
      <c r="BB271" s="31"/>
      <c r="BC271" s="31"/>
      <c r="BD271" s="31"/>
      <c r="BE271" s="31"/>
      <c r="BF271" s="31"/>
      <c r="BG271" s="31"/>
      <c r="BH271" s="102">
        <f>AX271-AM271</f>
        <v>-927.2751388888887</v>
      </c>
      <c r="BI271" s="37"/>
      <c r="BJ271" s="37"/>
      <c r="BK271" s="37"/>
      <c r="BL271" s="37"/>
      <c r="BM271" s="37"/>
      <c r="BN271" s="37"/>
      <c r="BO271" s="37"/>
      <c r="BP271" s="37"/>
      <c r="BQ271" s="37"/>
      <c r="BR271" s="38"/>
    </row>
    <row r="272" spans="1:70" s="2" customFormat="1" ht="24.75" customHeight="1" hidden="1">
      <c r="A272" s="65"/>
      <c r="B272" s="66"/>
      <c r="C272" s="42"/>
      <c r="D272" s="42"/>
      <c r="E272" s="42"/>
      <c r="F272" s="42"/>
      <c r="G272" s="42"/>
      <c r="H272" s="42"/>
      <c r="I272" s="28" t="s">
        <v>183</v>
      </c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30"/>
      <c r="BR272" s="11"/>
    </row>
    <row r="273" spans="1:70" s="10" customFormat="1" ht="16.5" customHeight="1">
      <c r="A273" s="84"/>
      <c r="B273" s="85"/>
      <c r="C273" s="86"/>
      <c r="D273" s="86"/>
      <c r="E273" s="86"/>
      <c r="F273" s="86"/>
      <c r="G273" s="86"/>
      <c r="H273" s="86"/>
      <c r="I273" s="81" t="s">
        <v>189</v>
      </c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3"/>
      <c r="BR273" s="12"/>
    </row>
    <row r="274" spans="1:70" s="10" customFormat="1" ht="16.5" customHeight="1">
      <c r="A274" s="84"/>
      <c r="B274" s="85"/>
      <c r="C274" s="86"/>
      <c r="D274" s="86"/>
      <c r="E274" s="86"/>
      <c r="F274" s="86"/>
      <c r="G274" s="86"/>
      <c r="H274" s="86"/>
      <c r="I274" s="81" t="s">
        <v>190</v>
      </c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3"/>
      <c r="BR274" s="12"/>
    </row>
    <row r="275" spans="1:70" s="1" customFormat="1" ht="12" customHeight="1">
      <c r="A275" s="32">
        <v>1</v>
      </c>
      <c r="B275" s="32"/>
      <c r="C275" s="33"/>
      <c r="D275" s="34"/>
      <c r="E275" s="34"/>
      <c r="F275" s="34"/>
      <c r="G275" s="34"/>
      <c r="H275" s="35"/>
      <c r="I275" s="95" t="s">
        <v>50</v>
      </c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21"/>
    </row>
    <row r="276" spans="1:70" s="1" customFormat="1" ht="21" customHeight="1">
      <c r="A276" s="40" t="s">
        <v>44</v>
      </c>
      <c r="B276" s="41"/>
      <c r="C276" s="42"/>
      <c r="D276" s="42"/>
      <c r="E276" s="42"/>
      <c r="F276" s="42"/>
      <c r="G276" s="42"/>
      <c r="H276" s="42"/>
      <c r="I276" s="28" t="s">
        <v>7</v>
      </c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30"/>
      <c r="X276" s="43" t="s">
        <v>27</v>
      </c>
      <c r="Y276" s="43"/>
      <c r="Z276" s="43"/>
      <c r="AA276" s="39" t="s">
        <v>101</v>
      </c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7">
        <v>421200</v>
      </c>
      <c r="AN276" s="37"/>
      <c r="AO276" s="37"/>
      <c r="AP276" s="37"/>
      <c r="AQ276" s="37"/>
      <c r="AR276" s="37"/>
      <c r="AS276" s="37"/>
      <c r="AT276" s="37"/>
      <c r="AU276" s="37"/>
      <c r="AV276" s="37"/>
      <c r="AW276" s="38"/>
      <c r="AX276" s="31">
        <f>214637.53</f>
        <v>214637.53</v>
      </c>
      <c r="AY276" s="31"/>
      <c r="AZ276" s="31"/>
      <c r="BA276" s="31"/>
      <c r="BB276" s="31"/>
      <c r="BC276" s="31"/>
      <c r="BD276" s="31"/>
      <c r="BE276" s="31"/>
      <c r="BF276" s="31"/>
      <c r="BG276" s="31"/>
      <c r="BH276" s="102">
        <f>AX276-AM276</f>
        <v>-206562.47</v>
      </c>
      <c r="BI276" s="37"/>
      <c r="BJ276" s="37"/>
      <c r="BK276" s="37"/>
      <c r="BL276" s="37"/>
      <c r="BM276" s="37"/>
      <c r="BN276" s="37"/>
      <c r="BO276" s="37"/>
      <c r="BP276" s="37"/>
      <c r="BQ276" s="37"/>
      <c r="BR276" s="38"/>
    </row>
    <row r="277" spans="1:70" s="2" customFormat="1" ht="31.5" customHeight="1">
      <c r="A277" s="65"/>
      <c r="B277" s="66"/>
      <c r="C277" s="42"/>
      <c r="D277" s="42"/>
      <c r="E277" s="42"/>
      <c r="F277" s="42"/>
      <c r="G277" s="42"/>
      <c r="H277" s="42"/>
      <c r="I277" s="28" t="s">
        <v>193</v>
      </c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30"/>
      <c r="BR277" s="11"/>
    </row>
    <row r="278" spans="1:70" s="1" customFormat="1" ht="15.75" customHeight="1">
      <c r="A278" s="32">
        <v>2</v>
      </c>
      <c r="B278" s="32"/>
      <c r="C278" s="92"/>
      <c r="D278" s="92"/>
      <c r="E278" s="92"/>
      <c r="F278" s="92"/>
      <c r="G278" s="92"/>
      <c r="H278" s="92"/>
      <c r="I278" s="93" t="s">
        <v>40</v>
      </c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4"/>
      <c r="BR278" s="21"/>
    </row>
    <row r="279" spans="1:70" s="2" customFormat="1" ht="64.5" customHeight="1">
      <c r="A279" s="40" t="s">
        <v>44</v>
      </c>
      <c r="B279" s="41"/>
      <c r="C279" s="42"/>
      <c r="D279" s="42"/>
      <c r="E279" s="42"/>
      <c r="F279" s="42"/>
      <c r="G279" s="42"/>
      <c r="H279" s="42"/>
      <c r="I279" s="28" t="s">
        <v>191</v>
      </c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30"/>
      <c r="X279" s="43" t="s">
        <v>27</v>
      </c>
      <c r="Y279" s="43"/>
      <c r="Z279" s="43"/>
      <c r="AA279" s="49" t="s">
        <v>106</v>
      </c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1"/>
      <c r="AM279" s="37">
        <v>3</v>
      </c>
      <c r="AN279" s="37"/>
      <c r="AO279" s="37"/>
      <c r="AP279" s="37"/>
      <c r="AQ279" s="37"/>
      <c r="AR279" s="37"/>
      <c r="AS279" s="37"/>
      <c r="AT279" s="37"/>
      <c r="AU279" s="37"/>
      <c r="AV279" s="37"/>
      <c r="AW279" s="38"/>
      <c r="AX279" s="31">
        <v>2</v>
      </c>
      <c r="AY279" s="31"/>
      <c r="AZ279" s="31"/>
      <c r="BA279" s="31"/>
      <c r="BB279" s="31"/>
      <c r="BC279" s="31"/>
      <c r="BD279" s="31"/>
      <c r="BE279" s="31"/>
      <c r="BF279" s="31"/>
      <c r="BG279" s="31"/>
      <c r="BH279" s="102">
        <f>AX279-AM279</f>
        <v>-1</v>
      </c>
      <c r="BI279" s="37"/>
      <c r="BJ279" s="37"/>
      <c r="BK279" s="37"/>
      <c r="BL279" s="37"/>
      <c r="BM279" s="37"/>
      <c r="BN279" s="37"/>
      <c r="BO279" s="37"/>
      <c r="BP279" s="37"/>
      <c r="BQ279" s="37"/>
      <c r="BR279" s="38"/>
    </row>
    <row r="280" spans="1:70" s="2" customFormat="1" ht="6" customHeight="1" hidden="1">
      <c r="A280" s="40" t="s">
        <v>45</v>
      </c>
      <c r="B280" s="41"/>
      <c r="C280" s="42"/>
      <c r="D280" s="42"/>
      <c r="E280" s="42"/>
      <c r="F280" s="42"/>
      <c r="G280" s="42"/>
      <c r="H280" s="42"/>
      <c r="I280" s="28" t="s">
        <v>131</v>
      </c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30"/>
      <c r="X280" s="43" t="s">
        <v>132</v>
      </c>
      <c r="Y280" s="43"/>
      <c r="Z280" s="43"/>
      <c r="AA280" s="52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4"/>
      <c r="AM280" s="37">
        <v>12</v>
      </c>
      <c r="AN280" s="37"/>
      <c r="AO280" s="37"/>
      <c r="AP280" s="37"/>
      <c r="AQ280" s="37"/>
      <c r="AR280" s="37"/>
      <c r="AS280" s="37"/>
      <c r="AT280" s="37"/>
      <c r="AU280" s="37"/>
      <c r="AV280" s="37"/>
      <c r="AW280" s="38"/>
      <c r="AX280" s="31">
        <v>12</v>
      </c>
      <c r="AY280" s="31"/>
      <c r="AZ280" s="31"/>
      <c r="BA280" s="31"/>
      <c r="BB280" s="31"/>
      <c r="BC280" s="31"/>
      <c r="BD280" s="31"/>
      <c r="BE280" s="31"/>
      <c r="BF280" s="31"/>
      <c r="BG280" s="31"/>
      <c r="BH280" s="37">
        <f>AX280-AM280</f>
        <v>0</v>
      </c>
      <c r="BI280" s="37"/>
      <c r="BJ280" s="37"/>
      <c r="BK280" s="37"/>
      <c r="BL280" s="37"/>
      <c r="BM280" s="37"/>
      <c r="BN280" s="37"/>
      <c r="BO280" s="37"/>
      <c r="BP280" s="37"/>
      <c r="BQ280" s="38"/>
      <c r="BR280" s="11"/>
    </row>
    <row r="281" spans="1:70" s="2" customFormat="1" ht="30.75" customHeight="1">
      <c r="A281" s="65"/>
      <c r="B281" s="66"/>
      <c r="C281" s="42"/>
      <c r="D281" s="42"/>
      <c r="E281" s="42"/>
      <c r="F281" s="42"/>
      <c r="G281" s="42"/>
      <c r="H281" s="42"/>
      <c r="I281" s="28" t="s">
        <v>194</v>
      </c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30"/>
      <c r="BR281" s="11"/>
    </row>
    <row r="282" spans="1:70" s="1" customFormat="1" ht="15" customHeight="1">
      <c r="A282" s="32">
        <v>3</v>
      </c>
      <c r="B282" s="32"/>
      <c r="C282" s="33"/>
      <c r="D282" s="34"/>
      <c r="E282" s="34"/>
      <c r="F282" s="34"/>
      <c r="G282" s="34"/>
      <c r="H282" s="35"/>
      <c r="I282" s="95" t="s">
        <v>41</v>
      </c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21"/>
    </row>
    <row r="283" spans="1:70" s="2" customFormat="1" ht="38.25" customHeight="1">
      <c r="A283" s="40" t="s">
        <v>44</v>
      </c>
      <c r="B283" s="41"/>
      <c r="C283" s="42"/>
      <c r="D283" s="42"/>
      <c r="E283" s="42"/>
      <c r="F283" s="42"/>
      <c r="G283" s="42"/>
      <c r="H283" s="42"/>
      <c r="I283" s="28" t="s">
        <v>192</v>
      </c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30"/>
      <c r="X283" s="43" t="s">
        <v>32</v>
      </c>
      <c r="Y283" s="43"/>
      <c r="Z283" s="43"/>
      <c r="AA283" s="39" t="s">
        <v>43</v>
      </c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7">
        <f>AM276/AM279</f>
        <v>140400</v>
      </c>
      <c r="AN283" s="37"/>
      <c r="AO283" s="37"/>
      <c r="AP283" s="37"/>
      <c r="AQ283" s="37"/>
      <c r="AR283" s="37"/>
      <c r="AS283" s="37"/>
      <c r="AT283" s="37"/>
      <c r="AU283" s="37"/>
      <c r="AV283" s="37"/>
      <c r="AW283" s="38"/>
      <c r="AX283" s="31">
        <f>AX276/AX279</f>
        <v>107318.765</v>
      </c>
      <c r="AY283" s="31"/>
      <c r="AZ283" s="31"/>
      <c r="BA283" s="31"/>
      <c r="BB283" s="31"/>
      <c r="BC283" s="31"/>
      <c r="BD283" s="31"/>
      <c r="BE283" s="31"/>
      <c r="BF283" s="31"/>
      <c r="BG283" s="31"/>
      <c r="BH283" s="102">
        <f>AX283-AM283</f>
        <v>-33081.235</v>
      </c>
      <c r="BI283" s="37"/>
      <c r="BJ283" s="37"/>
      <c r="BK283" s="37"/>
      <c r="BL283" s="37"/>
      <c r="BM283" s="37"/>
      <c r="BN283" s="37"/>
      <c r="BO283" s="37"/>
      <c r="BP283" s="37"/>
      <c r="BQ283" s="37"/>
      <c r="BR283" s="38"/>
    </row>
    <row r="284" spans="1:70" s="2" customFormat="1" ht="29.25" customHeight="1">
      <c r="A284" s="65"/>
      <c r="B284" s="66"/>
      <c r="C284" s="42"/>
      <c r="D284" s="42"/>
      <c r="E284" s="42"/>
      <c r="F284" s="42"/>
      <c r="G284" s="42"/>
      <c r="H284" s="42"/>
      <c r="I284" s="28" t="s">
        <v>193</v>
      </c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30"/>
      <c r="BR284" s="11"/>
    </row>
    <row r="285" spans="1:70" s="6" customFormat="1" ht="16.5" customHeight="1">
      <c r="A285" s="135"/>
      <c r="B285" s="136"/>
      <c r="C285" s="134"/>
      <c r="D285" s="134"/>
      <c r="E285" s="134"/>
      <c r="F285" s="134"/>
      <c r="G285" s="134"/>
      <c r="H285" s="134"/>
      <c r="I285" s="81" t="s">
        <v>195</v>
      </c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3"/>
      <c r="BR285" s="13"/>
    </row>
    <row r="286" spans="1:70" s="10" customFormat="1" ht="16.5" customHeight="1">
      <c r="A286" s="84"/>
      <c r="B286" s="85"/>
      <c r="C286" s="86"/>
      <c r="D286" s="86"/>
      <c r="E286" s="86"/>
      <c r="F286" s="86"/>
      <c r="G286" s="86"/>
      <c r="H286" s="86"/>
      <c r="I286" s="81" t="s">
        <v>196</v>
      </c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3"/>
      <c r="BR286" s="12"/>
    </row>
    <row r="287" spans="1:70" s="10" customFormat="1" ht="16.5" customHeight="1">
      <c r="A287" s="84"/>
      <c r="B287" s="85"/>
      <c r="C287" s="86"/>
      <c r="D287" s="86"/>
      <c r="E287" s="86"/>
      <c r="F287" s="86"/>
      <c r="G287" s="86"/>
      <c r="H287" s="86"/>
      <c r="I287" s="81" t="s">
        <v>197</v>
      </c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3"/>
      <c r="BR287" s="12"/>
    </row>
    <row r="288" spans="1:70" s="1" customFormat="1" ht="21" customHeight="1">
      <c r="A288" s="32">
        <v>1</v>
      </c>
      <c r="B288" s="32"/>
      <c r="C288" s="33"/>
      <c r="D288" s="34"/>
      <c r="E288" s="34"/>
      <c r="F288" s="34"/>
      <c r="G288" s="34"/>
      <c r="H288" s="35"/>
      <c r="I288" s="95" t="s">
        <v>50</v>
      </c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21"/>
    </row>
    <row r="289" spans="1:70" s="1" customFormat="1" ht="26.25" customHeight="1">
      <c r="A289" s="40" t="s">
        <v>44</v>
      </c>
      <c r="B289" s="41"/>
      <c r="C289" s="42"/>
      <c r="D289" s="42"/>
      <c r="E289" s="42"/>
      <c r="F289" s="42"/>
      <c r="G289" s="42"/>
      <c r="H289" s="42"/>
      <c r="I289" s="28" t="s">
        <v>198</v>
      </c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30"/>
      <c r="X289" s="43" t="s">
        <v>32</v>
      </c>
      <c r="Y289" s="43"/>
      <c r="Z289" s="43"/>
      <c r="AA289" s="39" t="s">
        <v>101</v>
      </c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7">
        <v>20000</v>
      </c>
      <c r="AN289" s="37"/>
      <c r="AO289" s="37"/>
      <c r="AP289" s="37"/>
      <c r="AQ289" s="37"/>
      <c r="AR289" s="37"/>
      <c r="AS289" s="37"/>
      <c r="AT289" s="37"/>
      <c r="AU289" s="37"/>
      <c r="AV289" s="37"/>
      <c r="AW289" s="38"/>
      <c r="AX289" s="31">
        <f>19800</f>
        <v>19800</v>
      </c>
      <c r="AY289" s="31"/>
      <c r="AZ289" s="31"/>
      <c r="BA289" s="31"/>
      <c r="BB289" s="31"/>
      <c r="BC289" s="31"/>
      <c r="BD289" s="31"/>
      <c r="BE289" s="31"/>
      <c r="BF289" s="31"/>
      <c r="BG289" s="31"/>
      <c r="BH289" s="102">
        <f>AX289-AM289</f>
        <v>-200</v>
      </c>
      <c r="BI289" s="37"/>
      <c r="BJ289" s="37"/>
      <c r="BK289" s="37"/>
      <c r="BL289" s="37"/>
      <c r="BM289" s="37"/>
      <c r="BN289" s="37"/>
      <c r="BO289" s="37"/>
      <c r="BP289" s="37"/>
      <c r="BQ289" s="37"/>
      <c r="BR289" s="38"/>
    </row>
    <row r="290" spans="1:70" s="2" customFormat="1" ht="39" customHeight="1">
      <c r="A290" s="65"/>
      <c r="B290" s="66"/>
      <c r="C290" s="42"/>
      <c r="D290" s="42"/>
      <c r="E290" s="42"/>
      <c r="F290" s="42"/>
      <c r="G290" s="42"/>
      <c r="H290" s="42"/>
      <c r="I290" s="28" t="s">
        <v>199</v>
      </c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30"/>
      <c r="BR290" s="11"/>
    </row>
    <row r="291" spans="1:70" s="1" customFormat="1" ht="16.5" customHeight="1">
      <c r="A291" s="32">
        <v>2</v>
      </c>
      <c r="B291" s="32"/>
      <c r="C291" s="92"/>
      <c r="D291" s="92"/>
      <c r="E291" s="92"/>
      <c r="F291" s="92"/>
      <c r="G291" s="92"/>
      <c r="H291" s="92"/>
      <c r="I291" s="93" t="s">
        <v>40</v>
      </c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4"/>
      <c r="BR291" s="21"/>
    </row>
    <row r="292" spans="1:70" s="1" customFormat="1" ht="24.75" customHeight="1">
      <c r="A292" s="79" t="s">
        <v>46</v>
      </c>
      <c r="B292" s="80"/>
      <c r="C292" s="42"/>
      <c r="D292" s="42"/>
      <c r="E292" s="42"/>
      <c r="F292" s="42"/>
      <c r="G292" s="42"/>
      <c r="H292" s="42"/>
      <c r="I292" s="28" t="s">
        <v>200</v>
      </c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30"/>
      <c r="X292" s="43" t="s">
        <v>27</v>
      </c>
      <c r="Y292" s="43"/>
      <c r="Z292" s="43"/>
      <c r="AA292" s="106" t="s">
        <v>236</v>
      </c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8"/>
      <c r="AL292" s="87">
        <v>17000</v>
      </c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>
        <f>10000</f>
        <v>10000</v>
      </c>
      <c r="AY292" s="87"/>
      <c r="AZ292" s="87"/>
      <c r="BA292" s="87"/>
      <c r="BB292" s="87"/>
      <c r="BC292" s="87"/>
      <c r="BD292" s="87"/>
      <c r="BE292" s="87"/>
      <c r="BF292" s="87"/>
      <c r="BG292" s="87"/>
      <c r="BH292" s="96">
        <f>AX292-AL292</f>
        <v>-7000</v>
      </c>
      <c r="BI292" s="97"/>
      <c r="BJ292" s="97"/>
      <c r="BK292" s="97"/>
      <c r="BL292" s="97"/>
      <c r="BM292" s="97"/>
      <c r="BN292" s="97"/>
      <c r="BO292" s="97"/>
      <c r="BP292" s="97"/>
      <c r="BQ292" s="97"/>
      <c r="BR292" s="98"/>
    </row>
    <row r="293" spans="1:70" s="1" customFormat="1" ht="24" customHeight="1">
      <c r="A293" s="79" t="s">
        <v>58</v>
      </c>
      <c r="B293" s="80"/>
      <c r="C293" s="42"/>
      <c r="D293" s="42"/>
      <c r="E293" s="42"/>
      <c r="F293" s="42"/>
      <c r="G293" s="42"/>
      <c r="H293" s="42"/>
      <c r="I293" s="28" t="s">
        <v>201</v>
      </c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30"/>
      <c r="X293" s="43" t="s">
        <v>27</v>
      </c>
      <c r="Y293" s="43"/>
      <c r="Z293" s="43"/>
      <c r="AA293" s="180"/>
      <c r="AB293" s="181"/>
      <c r="AC293" s="181"/>
      <c r="AD293" s="181"/>
      <c r="AE293" s="181"/>
      <c r="AF293" s="181"/>
      <c r="AG293" s="181"/>
      <c r="AH293" s="181"/>
      <c r="AI293" s="181"/>
      <c r="AJ293" s="181"/>
      <c r="AK293" s="182"/>
      <c r="AL293" s="87">
        <v>700</v>
      </c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>
        <f>1440</f>
        <v>1440</v>
      </c>
      <c r="AY293" s="87"/>
      <c r="AZ293" s="87"/>
      <c r="BA293" s="87"/>
      <c r="BB293" s="87"/>
      <c r="BC293" s="87"/>
      <c r="BD293" s="87"/>
      <c r="BE293" s="87"/>
      <c r="BF293" s="87"/>
      <c r="BG293" s="87"/>
      <c r="BH293" s="96">
        <f>AX293-AL293</f>
        <v>740</v>
      </c>
      <c r="BI293" s="97"/>
      <c r="BJ293" s="97"/>
      <c r="BK293" s="97"/>
      <c r="BL293" s="97"/>
      <c r="BM293" s="97"/>
      <c r="BN293" s="97"/>
      <c r="BO293" s="97"/>
      <c r="BP293" s="97"/>
      <c r="BQ293" s="97"/>
      <c r="BR293" s="98"/>
    </row>
    <row r="294" spans="1:70" s="1" customFormat="1" ht="34.5" customHeight="1">
      <c r="A294" s="79" t="s">
        <v>14</v>
      </c>
      <c r="B294" s="80"/>
      <c r="C294" s="42"/>
      <c r="D294" s="42"/>
      <c r="E294" s="42"/>
      <c r="F294" s="42"/>
      <c r="G294" s="42"/>
      <c r="H294" s="42"/>
      <c r="I294" s="28" t="s">
        <v>202</v>
      </c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30"/>
      <c r="X294" s="43" t="s">
        <v>27</v>
      </c>
      <c r="Y294" s="43"/>
      <c r="Z294" s="43"/>
      <c r="AA294" s="180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2"/>
      <c r="AL294" s="87">
        <v>160</v>
      </c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>
        <f>80</f>
        <v>80</v>
      </c>
      <c r="AY294" s="87"/>
      <c r="AZ294" s="87"/>
      <c r="BA294" s="87"/>
      <c r="BB294" s="87"/>
      <c r="BC294" s="87"/>
      <c r="BD294" s="87"/>
      <c r="BE294" s="87"/>
      <c r="BF294" s="87"/>
      <c r="BG294" s="87"/>
      <c r="BH294" s="96">
        <f>AX294-AL294</f>
        <v>-80</v>
      </c>
      <c r="BI294" s="97"/>
      <c r="BJ294" s="97"/>
      <c r="BK294" s="97"/>
      <c r="BL294" s="97"/>
      <c r="BM294" s="97"/>
      <c r="BN294" s="97"/>
      <c r="BO294" s="97"/>
      <c r="BP294" s="97"/>
      <c r="BQ294" s="97"/>
      <c r="BR294" s="98"/>
    </row>
    <row r="295" spans="1:70" s="2" customFormat="1" ht="24" customHeight="1" hidden="1">
      <c r="A295" s="65"/>
      <c r="B295" s="66"/>
      <c r="C295" s="42"/>
      <c r="D295" s="42"/>
      <c r="E295" s="42"/>
      <c r="F295" s="42"/>
      <c r="G295" s="42"/>
      <c r="H295" s="42"/>
      <c r="I295" s="28" t="s">
        <v>206</v>
      </c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30"/>
      <c r="BR295" s="11"/>
    </row>
    <row r="296" spans="1:70" s="1" customFormat="1" ht="18" customHeight="1">
      <c r="A296" s="32">
        <v>3</v>
      </c>
      <c r="B296" s="32"/>
      <c r="C296" s="92"/>
      <c r="D296" s="92"/>
      <c r="E296" s="92"/>
      <c r="F296" s="92"/>
      <c r="G296" s="92"/>
      <c r="H296" s="92"/>
      <c r="I296" s="93" t="s">
        <v>41</v>
      </c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4"/>
      <c r="BR296" s="21"/>
    </row>
    <row r="297" spans="1:70" s="2" customFormat="1" ht="36" customHeight="1">
      <c r="A297" s="40" t="s">
        <v>47</v>
      </c>
      <c r="B297" s="41"/>
      <c r="C297" s="42"/>
      <c r="D297" s="42"/>
      <c r="E297" s="42"/>
      <c r="F297" s="42"/>
      <c r="G297" s="42"/>
      <c r="H297" s="42"/>
      <c r="I297" s="28" t="s">
        <v>203</v>
      </c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30"/>
      <c r="X297" s="43" t="s">
        <v>32</v>
      </c>
      <c r="Y297" s="43"/>
      <c r="Z297" s="43"/>
      <c r="AA297" s="43" t="s">
        <v>43</v>
      </c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87">
        <v>1</v>
      </c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220">
        <f>0.64</f>
        <v>0.64</v>
      </c>
      <c r="AY297" s="220"/>
      <c r="AZ297" s="220"/>
      <c r="BA297" s="220"/>
      <c r="BB297" s="220"/>
      <c r="BC297" s="220"/>
      <c r="BD297" s="220"/>
      <c r="BE297" s="220"/>
      <c r="BF297" s="220"/>
      <c r="BG297" s="220"/>
      <c r="BH297" s="232">
        <f>AX297-AL297</f>
        <v>-0.36</v>
      </c>
      <c r="BI297" s="195"/>
      <c r="BJ297" s="195"/>
      <c r="BK297" s="195"/>
      <c r="BL297" s="195"/>
      <c r="BM297" s="195"/>
      <c r="BN297" s="195"/>
      <c r="BO297" s="195"/>
      <c r="BP297" s="195"/>
      <c r="BQ297" s="195"/>
      <c r="BR297" s="196"/>
    </row>
    <row r="298" spans="1:70" s="2" customFormat="1" ht="36" customHeight="1">
      <c r="A298" s="40" t="s">
        <v>77</v>
      </c>
      <c r="B298" s="41"/>
      <c r="C298" s="42"/>
      <c r="D298" s="42"/>
      <c r="E298" s="42"/>
      <c r="F298" s="42"/>
      <c r="G298" s="42"/>
      <c r="H298" s="42"/>
      <c r="I298" s="28" t="s">
        <v>204</v>
      </c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30"/>
      <c r="X298" s="43" t="s">
        <v>32</v>
      </c>
      <c r="Y298" s="43"/>
      <c r="Z298" s="43"/>
      <c r="AA298" s="43" t="s">
        <v>43</v>
      </c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87">
        <v>2</v>
      </c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220">
        <f>(1000*1.7+250*12.5+150*10.5+40*21)/1440</f>
        <v>5.027777777777778</v>
      </c>
      <c r="AY298" s="220"/>
      <c r="AZ298" s="220"/>
      <c r="BA298" s="220"/>
      <c r="BB298" s="220"/>
      <c r="BC298" s="220"/>
      <c r="BD298" s="220"/>
      <c r="BE298" s="220"/>
      <c r="BF298" s="220"/>
      <c r="BG298" s="220"/>
      <c r="BH298" s="96">
        <f>AX298-AL298</f>
        <v>3.0277777777777777</v>
      </c>
      <c r="BI298" s="97"/>
      <c r="BJ298" s="97"/>
      <c r="BK298" s="97"/>
      <c r="BL298" s="97"/>
      <c r="BM298" s="97"/>
      <c r="BN298" s="97"/>
      <c r="BO298" s="97"/>
      <c r="BP298" s="97"/>
      <c r="BQ298" s="97"/>
      <c r="BR298" s="98"/>
    </row>
    <row r="299" spans="1:70" s="2" customFormat="1" ht="27" customHeight="1">
      <c r="A299" s="40" t="s">
        <v>9</v>
      </c>
      <c r="B299" s="41"/>
      <c r="C299" s="42"/>
      <c r="D299" s="42"/>
      <c r="E299" s="42"/>
      <c r="F299" s="42"/>
      <c r="G299" s="42"/>
      <c r="H299" s="42"/>
      <c r="I299" s="28" t="s">
        <v>205</v>
      </c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30"/>
      <c r="X299" s="43" t="s">
        <v>32</v>
      </c>
      <c r="Y299" s="43"/>
      <c r="Z299" s="43"/>
      <c r="AA299" s="43" t="s">
        <v>43</v>
      </c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87">
        <v>10</v>
      </c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>
        <f>77</f>
        <v>77</v>
      </c>
      <c r="AY299" s="87"/>
      <c r="AZ299" s="87"/>
      <c r="BA299" s="87"/>
      <c r="BB299" s="87"/>
      <c r="BC299" s="87"/>
      <c r="BD299" s="87"/>
      <c r="BE299" s="87"/>
      <c r="BF299" s="87"/>
      <c r="BG299" s="87"/>
      <c r="BH299" s="96">
        <f>AX299-AL299</f>
        <v>67</v>
      </c>
      <c r="BI299" s="97"/>
      <c r="BJ299" s="97"/>
      <c r="BK299" s="97"/>
      <c r="BL299" s="97"/>
      <c r="BM299" s="97"/>
      <c r="BN299" s="97"/>
      <c r="BO299" s="97"/>
      <c r="BP299" s="97"/>
      <c r="BQ299" s="97"/>
      <c r="BR299" s="98"/>
    </row>
    <row r="300" spans="1:70" s="2" customFormat="1" ht="27" customHeight="1">
      <c r="A300" s="40"/>
      <c r="B300" s="41"/>
      <c r="C300" s="42"/>
      <c r="D300" s="42"/>
      <c r="E300" s="42"/>
      <c r="F300" s="42"/>
      <c r="G300" s="42"/>
      <c r="H300" s="42"/>
      <c r="I300" s="28" t="s">
        <v>206</v>
      </c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30"/>
      <c r="BR300" s="11"/>
    </row>
    <row r="301" spans="1:70" s="2" customFormat="1" ht="21" customHeight="1">
      <c r="A301" s="65"/>
      <c r="B301" s="66"/>
      <c r="C301" s="42"/>
      <c r="D301" s="42"/>
      <c r="E301" s="42"/>
      <c r="F301" s="42"/>
      <c r="G301" s="42"/>
      <c r="H301" s="42"/>
      <c r="I301" s="81" t="s">
        <v>379</v>
      </c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3"/>
      <c r="BR301" s="11"/>
    </row>
    <row r="302" spans="1:70" s="1" customFormat="1" ht="21" customHeight="1">
      <c r="A302" s="32">
        <v>1</v>
      </c>
      <c r="B302" s="32"/>
      <c r="C302" s="33"/>
      <c r="D302" s="34"/>
      <c r="E302" s="34"/>
      <c r="F302" s="34"/>
      <c r="G302" s="34"/>
      <c r="H302" s="35"/>
      <c r="I302" s="95" t="s">
        <v>50</v>
      </c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21"/>
    </row>
    <row r="303" spans="1:70" s="1" customFormat="1" ht="26.25" customHeight="1">
      <c r="A303" s="40" t="s">
        <v>44</v>
      </c>
      <c r="B303" s="41"/>
      <c r="C303" s="42"/>
      <c r="D303" s="42"/>
      <c r="E303" s="42"/>
      <c r="F303" s="42"/>
      <c r="G303" s="42"/>
      <c r="H303" s="42"/>
      <c r="I303" s="28" t="s">
        <v>198</v>
      </c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30"/>
      <c r="X303" s="43" t="s">
        <v>32</v>
      </c>
      <c r="Y303" s="43"/>
      <c r="Z303" s="43"/>
      <c r="AA303" s="39" t="s">
        <v>101</v>
      </c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7">
        <v>25000</v>
      </c>
      <c r="AN303" s="37"/>
      <c r="AO303" s="37"/>
      <c r="AP303" s="37"/>
      <c r="AQ303" s="37"/>
      <c r="AR303" s="37"/>
      <c r="AS303" s="37"/>
      <c r="AT303" s="37"/>
      <c r="AU303" s="37"/>
      <c r="AV303" s="37"/>
      <c r="AW303" s="38"/>
      <c r="AX303" s="31">
        <f>24873.42</f>
        <v>24873.42</v>
      </c>
      <c r="AY303" s="31"/>
      <c r="AZ303" s="31"/>
      <c r="BA303" s="31"/>
      <c r="BB303" s="31"/>
      <c r="BC303" s="31"/>
      <c r="BD303" s="31"/>
      <c r="BE303" s="31"/>
      <c r="BF303" s="31"/>
      <c r="BG303" s="31"/>
      <c r="BH303" s="102">
        <f>AX303-AM303</f>
        <v>-126.58000000000175</v>
      </c>
      <c r="BI303" s="37"/>
      <c r="BJ303" s="37"/>
      <c r="BK303" s="37"/>
      <c r="BL303" s="37"/>
      <c r="BM303" s="37"/>
      <c r="BN303" s="37"/>
      <c r="BO303" s="37"/>
      <c r="BP303" s="37"/>
      <c r="BQ303" s="37"/>
      <c r="BR303" s="38"/>
    </row>
    <row r="304" spans="1:70" s="2" customFormat="1" ht="33" customHeight="1">
      <c r="A304" s="65"/>
      <c r="B304" s="66"/>
      <c r="C304" s="42"/>
      <c r="D304" s="42"/>
      <c r="E304" s="42"/>
      <c r="F304" s="42"/>
      <c r="G304" s="42"/>
      <c r="H304" s="42"/>
      <c r="I304" s="28" t="s">
        <v>199</v>
      </c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30"/>
      <c r="BR304" s="11"/>
    </row>
    <row r="305" spans="1:70" s="1" customFormat="1" ht="16.5" customHeight="1">
      <c r="A305" s="32">
        <v>2</v>
      </c>
      <c r="B305" s="32"/>
      <c r="C305" s="92"/>
      <c r="D305" s="92"/>
      <c r="E305" s="92"/>
      <c r="F305" s="92"/>
      <c r="G305" s="92"/>
      <c r="H305" s="92"/>
      <c r="I305" s="93" t="s">
        <v>40</v>
      </c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4"/>
      <c r="BR305" s="21"/>
    </row>
    <row r="306" spans="1:70" s="1" customFormat="1" ht="39.75" customHeight="1">
      <c r="A306" s="79" t="s">
        <v>46</v>
      </c>
      <c r="B306" s="80"/>
      <c r="C306" s="42"/>
      <c r="D306" s="42"/>
      <c r="E306" s="42"/>
      <c r="F306" s="42"/>
      <c r="G306" s="42"/>
      <c r="H306" s="42"/>
      <c r="I306" s="28" t="s">
        <v>207</v>
      </c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30"/>
      <c r="X306" s="43" t="s">
        <v>27</v>
      </c>
      <c r="Y306" s="43"/>
      <c r="Z306" s="43"/>
      <c r="AA306" s="106" t="s">
        <v>236</v>
      </c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8"/>
      <c r="AL306" s="87">
        <v>2</v>
      </c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>
        <v>7</v>
      </c>
      <c r="AY306" s="87"/>
      <c r="AZ306" s="87"/>
      <c r="BA306" s="87"/>
      <c r="BB306" s="87"/>
      <c r="BC306" s="87"/>
      <c r="BD306" s="87"/>
      <c r="BE306" s="87"/>
      <c r="BF306" s="87"/>
      <c r="BG306" s="87"/>
      <c r="BH306" s="96">
        <f>AX306-AL306</f>
        <v>5</v>
      </c>
      <c r="BI306" s="97"/>
      <c r="BJ306" s="97"/>
      <c r="BK306" s="97"/>
      <c r="BL306" s="97"/>
      <c r="BM306" s="97"/>
      <c r="BN306" s="97"/>
      <c r="BO306" s="97"/>
      <c r="BP306" s="97"/>
      <c r="BQ306" s="97"/>
      <c r="BR306" s="98"/>
    </row>
    <row r="307" spans="1:70" s="1" customFormat="1" ht="41.25" customHeight="1">
      <c r="A307" s="79" t="s">
        <v>58</v>
      </c>
      <c r="B307" s="80"/>
      <c r="C307" s="42"/>
      <c r="D307" s="42"/>
      <c r="E307" s="42"/>
      <c r="F307" s="42"/>
      <c r="G307" s="42"/>
      <c r="H307" s="42"/>
      <c r="I307" s="28" t="s">
        <v>208</v>
      </c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30"/>
      <c r="X307" s="43" t="s">
        <v>27</v>
      </c>
      <c r="Y307" s="43"/>
      <c r="Z307" s="43"/>
      <c r="AA307" s="180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2"/>
      <c r="AL307" s="87">
        <v>2</v>
      </c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>
        <v>5</v>
      </c>
      <c r="AY307" s="87"/>
      <c r="AZ307" s="87"/>
      <c r="BA307" s="87"/>
      <c r="BB307" s="87"/>
      <c r="BC307" s="87"/>
      <c r="BD307" s="87"/>
      <c r="BE307" s="87"/>
      <c r="BF307" s="87"/>
      <c r="BG307" s="87"/>
      <c r="BH307" s="96">
        <f>AX307-AL307</f>
        <v>3</v>
      </c>
      <c r="BI307" s="97"/>
      <c r="BJ307" s="97"/>
      <c r="BK307" s="97"/>
      <c r="BL307" s="97"/>
      <c r="BM307" s="97"/>
      <c r="BN307" s="97"/>
      <c r="BO307" s="97"/>
      <c r="BP307" s="97"/>
      <c r="BQ307" s="97"/>
      <c r="BR307" s="98"/>
    </row>
    <row r="308" spans="1:70" s="2" customFormat="1" ht="35.25" customHeight="1">
      <c r="A308" s="65"/>
      <c r="B308" s="66"/>
      <c r="C308" s="42"/>
      <c r="D308" s="42"/>
      <c r="E308" s="42"/>
      <c r="F308" s="42"/>
      <c r="G308" s="42"/>
      <c r="H308" s="42"/>
      <c r="I308" s="28" t="s">
        <v>211</v>
      </c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30"/>
      <c r="BR308" s="11"/>
    </row>
    <row r="309" spans="1:70" s="1" customFormat="1" ht="18" customHeight="1">
      <c r="A309" s="32">
        <v>3</v>
      </c>
      <c r="B309" s="32"/>
      <c r="C309" s="92"/>
      <c r="D309" s="92"/>
      <c r="E309" s="92"/>
      <c r="F309" s="92"/>
      <c r="G309" s="92"/>
      <c r="H309" s="92"/>
      <c r="I309" s="93" t="s">
        <v>41</v>
      </c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4"/>
      <c r="BR309" s="21"/>
    </row>
    <row r="310" spans="1:70" s="2" customFormat="1" ht="36" customHeight="1">
      <c r="A310" s="40" t="s">
        <v>47</v>
      </c>
      <c r="B310" s="41"/>
      <c r="C310" s="42"/>
      <c r="D310" s="42"/>
      <c r="E310" s="42"/>
      <c r="F310" s="42"/>
      <c r="G310" s="42"/>
      <c r="H310" s="42"/>
      <c r="I310" s="28" t="s">
        <v>209</v>
      </c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30"/>
      <c r="X310" s="43" t="s">
        <v>32</v>
      </c>
      <c r="Y310" s="43"/>
      <c r="Z310" s="43"/>
      <c r="AA310" s="43" t="s">
        <v>43</v>
      </c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87">
        <v>7000</v>
      </c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>
        <f>(4993.92+3375+1446+1446+1500+2000+1912.5)/7</f>
        <v>2381.9171428571426</v>
      </c>
      <c r="AY310" s="87"/>
      <c r="AZ310" s="87"/>
      <c r="BA310" s="87"/>
      <c r="BB310" s="87"/>
      <c r="BC310" s="87"/>
      <c r="BD310" s="87"/>
      <c r="BE310" s="87"/>
      <c r="BF310" s="87"/>
      <c r="BG310" s="87"/>
      <c r="BH310" s="96">
        <f>AX310-AL310</f>
        <v>-4618.082857142857</v>
      </c>
      <c r="BI310" s="97"/>
      <c r="BJ310" s="97"/>
      <c r="BK310" s="97"/>
      <c r="BL310" s="97"/>
      <c r="BM310" s="97"/>
      <c r="BN310" s="97"/>
      <c r="BO310" s="97"/>
      <c r="BP310" s="97"/>
      <c r="BQ310" s="97"/>
      <c r="BR310" s="98"/>
    </row>
    <row r="311" spans="1:70" s="2" customFormat="1" ht="36" customHeight="1">
      <c r="A311" s="40" t="s">
        <v>77</v>
      </c>
      <c r="B311" s="41"/>
      <c r="C311" s="42"/>
      <c r="D311" s="42"/>
      <c r="E311" s="42"/>
      <c r="F311" s="42"/>
      <c r="G311" s="42"/>
      <c r="H311" s="42"/>
      <c r="I311" s="28" t="s">
        <v>210</v>
      </c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30"/>
      <c r="X311" s="43" t="s">
        <v>32</v>
      </c>
      <c r="Y311" s="43"/>
      <c r="Z311" s="43"/>
      <c r="AA311" s="43" t="s">
        <v>43</v>
      </c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87">
        <v>5000</v>
      </c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>
        <f>(3000+1000+1200+1800+1200)/5</f>
        <v>1640</v>
      </c>
      <c r="AY311" s="87"/>
      <c r="AZ311" s="87"/>
      <c r="BA311" s="87"/>
      <c r="BB311" s="87"/>
      <c r="BC311" s="87"/>
      <c r="BD311" s="87"/>
      <c r="BE311" s="87"/>
      <c r="BF311" s="87"/>
      <c r="BG311" s="87"/>
      <c r="BH311" s="96">
        <f>AX311-AL311</f>
        <v>-3360</v>
      </c>
      <c r="BI311" s="97"/>
      <c r="BJ311" s="97"/>
      <c r="BK311" s="97"/>
      <c r="BL311" s="97"/>
      <c r="BM311" s="97"/>
      <c r="BN311" s="97"/>
      <c r="BO311" s="97"/>
      <c r="BP311" s="97"/>
      <c r="BQ311" s="97"/>
      <c r="BR311" s="98"/>
    </row>
    <row r="312" spans="1:70" s="2" customFormat="1" ht="26.25" customHeight="1" hidden="1">
      <c r="A312" s="40"/>
      <c r="B312" s="41"/>
      <c r="C312" s="42"/>
      <c r="D312" s="42"/>
      <c r="E312" s="42"/>
      <c r="F312" s="42"/>
      <c r="G312" s="42"/>
      <c r="H312" s="42"/>
      <c r="I312" s="28" t="s">
        <v>212</v>
      </c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30"/>
      <c r="BR312" s="11"/>
    </row>
    <row r="313" spans="1:70" s="10" customFormat="1" ht="21" customHeight="1">
      <c r="A313" s="84"/>
      <c r="B313" s="85"/>
      <c r="C313" s="86"/>
      <c r="D313" s="86"/>
      <c r="E313" s="86"/>
      <c r="F313" s="86"/>
      <c r="G313" s="86"/>
      <c r="H313" s="86"/>
      <c r="I313" s="81" t="s">
        <v>213</v>
      </c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3"/>
      <c r="BR313" s="12"/>
    </row>
    <row r="314" spans="1:70" s="1" customFormat="1" ht="21" customHeight="1">
      <c r="A314" s="32">
        <v>1</v>
      </c>
      <c r="B314" s="32"/>
      <c r="C314" s="33"/>
      <c r="D314" s="34"/>
      <c r="E314" s="34"/>
      <c r="F314" s="34"/>
      <c r="G314" s="34"/>
      <c r="H314" s="35"/>
      <c r="I314" s="95" t="s">
        <v>50</v>
      </c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21"/>
    </row>
    <row r="315" spans="1:70" s="1" customFormat="1" ht="26.25" customHeight="1">
      <c r="A315" s="40" t="s">
        <v>44</v>
      </c>
      <c r="B315" s="41"/>
      <c r="C315" s="42"/>
      <c r="D315" s="42"/>
      <c r="E315" s="42"/>
      <c r="F315" s="42"/>
      <c r="G315" s="42"/>
      <c r="H315" s="42"/>
      <c r="I315" s="28" t="s">
        <v>198</v>
      </c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30"/>
      <c r="X315" s="43" t="s">
        <v>32</v>
      </c>
      <c r="Y315" s="43"/>
      <c r="Z315" s="43"/>
      <c r="AA315" s="39" t="s">
        <v>101</v>
      </c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7">
        <v>20000</v>
      </c>
      <c r="AN315" s="37"/>
      <c r="AO315" s="37"/>
      <c r="AP315" s="37"/>
      <c r="AQ315" s="37"/>
      <c r="AR315" s="37"/>
      <c r="AS315" s="37"/>
      <c r="AT315" s="37"/>
      <c r="AU315" s="37"/>
      <c r="AV315" s="37"/>
      <c r="AW315" s="38"/>
      <c r="AX315" s="31">
        <v>20000</v>
      </c>
      <c r="AY315" s="31"/>
      <c r="AZ315" s="31"/>
      <c r="BA315" s="31"/>
      <c r="BB315" s="31"/>
      <c r="BC315" s="31"/>
      <c r="BD315" s="31"/>
      <c r="BE315" s="31"/>
      <c r="BF315" s="31"/>
      <c r="BG315" s="31"/>
      <c r="BH315" s="102">
        <f>AX315-AM315</f>
        <v>0</v>
      </c>
      <c r="BI315" s="37"/>
      <c r="BJ315" s="37"/>
      <c r="BK315" s="37"/>
      <c r="BL315" s="37"/>
      <c r="BM315" s="37"/>
      <c r="BN315" s="37"/>
      <c r="BO315" s="37"/>
      <c r="BP315" s="37"/>
      <c r="BQ315" s="37"/>
      <c r="BR315" s="38"/>
    </row>
    <row r="316" spans="1:70" s="2" customFormat="1" ht="32.25" customHeight="1" hidden="1">
      <c r="A316" s="65"/>
      <c r="B316" s="66"/>
      <c r="C316" s="42"/>
      <c r="D316" s="42"/>
      <c r="E316" s="42"/>
      <c r="F316" s="42"/>
      <c r="G316" s="42"/>
      <c r="H316" s="42"/>
      <c r="I316" s="28" t="s">
        <v>199</v>
      </c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30"/>
      <c r="BR316" s="11"/>
    </row>
    <row r="317" spans="1:70" s="1" customFormat="1" ht="16.5" customHeight="1">
      <c r="A317" s="32">
        <v>2</v>
      </c>
      <c r="B317" s="32"/>
      <c r="C317" s="92"/>
      <c r="D317" s="92"/>
      <c r="E317" s="92"/>
      <c r="F317" s="92"/>
      <c r="G317" s="92"/>
      <c r="H317" s="92"/>
      <c r="I317" s="93" t="s">
        <v>40</v>
      </c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4"/>
      <c r="BR317" s="21"/>
    </row>
    <row r="318" spans="1:70" s="1" customFormat="1" ht="42" customHeight="1">
      <c r="A318" s="79" t="s">
        <v>46</v>
      </c>
      <c r="B318" s="80"/>
      <c r="C318" s="42"/>
      <c r="D318" s="42"/>
      <c r="E318" s="42"/>
      <c r="F318" s="42"/>
      <c r="G318" s="42"/>
      <c r="H318" s="42"/>
      <c r="I318" s="28" t="s">
        <v>214</v>
      </c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30"/>
      <c r="X318" s="43" t="s">
        <v>27</v>
      </c>
      <c r="Y318" s="43"/>
      <c r="Z318" s="43"/>
      <c r="AA318" s="106" t="s">
        <v>236</v>
      </c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8"/>
      <c r="AL318" s="87">
        <v>4</v>
      </c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>
        <v>2</v>
      </c>
      <c r="AY318" s="87"/>
      <c r="AZ318" s="87"/>
      <c r="BA318" s="87"/>
      <c r="BB318" s="87"/>
      <c r="BC318" s="87"/>
      <c r="BD318" s="87"/>
      <c r="BE318" s="87"/>
      <c r="BF318" s="87"/>
      <c r="BG318" s="87"/>
      <c r="BH318" s="96">
        <f>AX318-AL318</f>
        <v>-2</v>
      </c>
      <c r="BI318" s="97"/>
      <c r="BJ318" s="97"/>
      <c r="BK318" s="97"/>
      <c r="BL318" s="97"/>
      <c r="BM318" s="97"/>
      <c r="BN318" s="97"/>
      <c r="BO318" s="97"/>
      <c r="BP318" s="97"/>
      <c r="BQ318" s="97"/>
      <c r="BR318" s="98"/>
    </row>
    <row r="319" spans="1:70" s="1" customFormat="1" ht="40.5" customHeight="1">
      <c r="A319" s="79" t="s">
        <v>58</v>
      </c>
      <c r="B319" s="80"/>
      <c r="C319" s="42"/>
      <c r="D319" s="42"/>
      <c r="E319" s="42"/>
      <c r="F319" s="42"/>
      <c r="G319" s="42"/>
      <c r="H319" s="42"/>
      <c r="I319" s="28" t="s">
        <v>215</v>
      </c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30"/>
      <c r="X319" s="43" t="s">
        <v>27</v>
      </c>
      <c r="Y319" s="43"/>
      <c r="Z319" s="43"/>
      <c r="AA319" s="180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2"/>
      <c r="AL319" s="87">
        <v>4</v>
      </c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>
        <v>5</v>
      </c>
      <c r="AY319" s="87"/>
      <c r="AZ319" s="87"/>
      <c r="BA319" s="87"/>
      <c r="BB319" s="87"/>
      <c r="BC319" s="87"/>
      <c r="BD319" s="87"/>
      <c r="BE319" s="87"/>
      <c r="BF319" s="87"/>
      <c r="BG319" s="87"/>
      <c r="BH319" s="96">
        <f>AX319-AL319</f>
        <v>1</v>
      </c>
      <c r="BI319" s="97"/>
      <c r="BJ319" s="97"/>
      <c r="BK319" s="97"/>
      <c r="BL319" s="97"/>
      <c r="BM319" s="97"/>
      <c r="BN319" s="97"/>
      <c r="BO319" s="97"/>
      <c r="BP319" s="97"/>
      <c r="BQ319" s="97"/>
      <c r="BR319" s="98"/>
    </row>
    <row r="320" spans="1:70" s="2" customFormat="1" ht="24.75" customHeight="1">
      <c r="A320" s="65"/>
      <c r="B320" s="66"/>
      <c r="C320" s="42"/>
      <c r="D320" s="42"/>
      <c r="E320" s="42"/>
      <c r="F320" s="42"/>
      <c r="G320" s="42"/>
      <c r="H320" s="42"/>
      <c r="I320" s="28" t="s">
        <v>222</v>
      </c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30"/>
      <c r="BR320" s="11"/>
    </row>
    <row r="321" spans="1:70" s="1" customFormat="1" ht="18" customHeight="1">
      <c r="A321" s="32">
        <v>3</v>
      </c>
      <c r="B321" s="32"/>
      <c r="C321" s="92"/>
      <c r="D321" s="92"/>
      <c r="E321" s="92"/>
      <c r="F321" s="92"/>
      <c r="G321" s="92"/>
      <c r="H321" s="92"/>
      <c r="I321" s="93" t="s">
        <v>41</v>
      </c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4"/>
      <c r="BR321" s="21"/>
    </row>
    <row r="322" spans="1:70" s="2" customFormat="1" ht="36" customHeight="1">
      <c r="A322" s="40" t="s">
        <v>47</v>
      </c>
      <c r="B322" s="41"/>
      <c r="C322" s="42"/>
      <c r="D322" s="42"/>
      <c r="E322" s="42"/>
      <c r="F322" s="42"/>
      <c r="G322" s="42"/>
      <c r="H322" s="42"/>
      <c r="I322" s="28" t="s">
        <v>216</v>
      </c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30"/>
      <c r="X322" s="43" t="s">
        <v>32</v>
      </c>
      <c r="Y322" s="43"/>
      <c r="Z322" s="43"/>
      <c r="AA322" s="43" t="s">
        <v>43</v>
      </c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87">
        <v>2500</v>
      </c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>
        <f>AX315/AX318/AX319</f>
        <v>2000</v>
      </c>
      <c r="AY322" s="87"/>
      <c r="AZ322" s="87"/>
      <c r="BA322" s="87"/>
      <c r="BB322" s="87"/>
      <c r="BC322" s="87"/>
      <c r="BD322" s="87"/>
      <c r="BE322" s="87"/>
      <c r="BF322" s="87"/>
      <c r="BG322" s="87"/>
      <c r="BH322" s="96">
        <f>AX322-AL322</f>
        <v>-500</v>
      </c>
      <c r="BI322" s="97"/>
      <c r="BJ322" s="97"/>
      <c r="BK322" s="97"/>
      <c r="BL322" s="97"/>
      <c r="BM322" s="97"/>
      <c r="BN322" s="97"/>
      <c r="BO322" s="97"/>
      <c r="BP322" s="97"/>
      <c r="BQ322" s="97"/>
      <c r="BR322" s="98"/>
    </row>
    <row r="323" spans="1:70" s="2" customFormat="1" ht="24.75" customHeight="1">
      <c r="A323" s="40"/>
      <c r="B323" s="41"/>
      <c r="C323" s="42"/>
      <c r="D323" s="42"/>
      <c r="E323" s="42"/>
      <c r="F323" s="42"/>
      <c r="G323" s="42"/>
      <c r="H323" s="42"/>
      <c r="I323" s="28" t="s">
        <v>223</v>
      </c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30"/>
      <c r="BR323" s="11"/>
    </row>
    <row r="324" spans="1:70" s="10" customFormat="1" ht="21" customHeight="1">
      <c r="A324" s="84"/>
      <c r="B324" s="85"/>
      <c r="C324" s="86"/>
      <c r="D324" s="86"/>
      <c r="E324" s="86"/>
      <c r="F324" s="86"/>
      <c r="G324" s="86"/>
      <c r="H324" s="86"/>
      <c r="I324" s="81" t="s">
        <v>221</v>
      </c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3"/>
      <c r="BR324" s="12"/>
    </row>
    <row r="325" spans="1:70" s="1" customFormat="1" ht="13.5" customHeight="1">
      <c r="A325" s="32">
        <v>1</v>
      </c>
      <c r="B325" s="32"/>
      <c r="C325" s="33"/>
      <c r="D325" s="34"/>
      <c r="E325" s="34"/>
      <c r="F325" s="34"/>
      <c r="G325" s="34"/>
      <c r="H325" s="35"/>
      <c r="I325" s="95" t="s">
        <v>50</v>
      </c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21"/>
    </row>
    <row r="326" spans="1:70" s="1" customFormat="1" ht="26.25" customHeight="1">
      <c r="A326" s="40" t="s">
        <v>44</v>
      </c>
      <c r="B326" s="41"/>
      <c r="C326" s="42"/>
      <c r="D326" s="42"/>
      <c r="E326" s="42"/>
      <c r="F326" s="42"/>
      <c r="G326" s="42"/>
      <c r="H326" s="42"/>
      <c r="I326" s="28" t="s">
        <v>198</v>
      </c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30"/>
      <c r="X326" s="43" t="s">
        <v>32</v>
      </c>
      <c r="Y326" s="43"/>
      <c r="Z326" s="43"/>
      <c r="AA326" s="39" t="s">
        <v>101</v>
      </c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7">
        <v>5000</v>
      </c>
      <c r="AN326" s="37"/>
      <c r="AO326" s="37"/>
      <c r="AP326" s="37"/>
      <c r="AQ326" s="37"/>
      <c r="AR326" s="37"/>
      <c r="AS326" s="37"/>
      <c r="AT326" s="37"/>
      <c r="AU326" s="37"/>
      <c r="AV326" s="37"/>
      <c r="AW326" s="38"/>
      <c r="AX326" s="31">
        <f>2734.4</f>
        <v>2734.4</v>
      </c>
      <c r="AY326" s="31"/>
      <c r="AZ326" s="31"/>
      <c r="BA326" s="31"/>
      <c r="BB326" s="31"/>
      <c r="BC326" s="31"/>
      <c r="BD326" s="31"/>
      <c r="BE326" s="31"/>
      <c r="BF326" s="31"/>
      <c r="BG326" s="31"/>
      <c r="BH326" s="102">
        <f>AX326-AM326</f>
        <v>-2265.6</v>
      </c>
      <c r="BI326" s="37"/>
      <c r="BJ326" s="37"/>
      <c r="BK326" s="37"/>
      <c r="BL326" s="37"/>
      <c r="BM326" s="37"/>
      <c r="BN326" s="37"/>
      <c r="BO326" s="37"/>
      <c r="BP326" s="37"/>
      <c r="BQ326" s="37"/>
      <c r="BR326" s="38"/>
    </row>
    <row r="327" spans="1:70" s="2" customFormat="1" ht="27" customHeight="1">
      <c r="A327" s="65"/>
      <c r="B327" s="66"/>
      <c r="C327" s="42"/>
      <c r="D327" s="42"/>
      <c r="E327" s="42"/>
      <c r="F327" s="42"/>
      <c r="G327" s="42"/>
      <c r="H327" s="42"/>
      <c r="I327" s="28" t="s">
        <v>199</v>
      </c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30"/>
      <c r="BR327" s="11"/>
    </row>
    <row r="328" spans="1:70" s="1" customFormat="1" ht="16.5" customHeight="1">
      <c r="A328" s="32">
        <v>2</v>
      </c>
      <c r="B328" s="32"/>
      <c r="C328" s="92"/>
      <c r="D328" s="92"/>
      <c r="E328" s="92"/>
      <c r="F328" s="92"/>
      <c r="G328" s="92"/>
      <c r="H328" s="92"/>
      <c r="I328" s="93" t="s">
        <v>40</v>
      </c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4"/>
      <c r="BR328" s="21"/>
    </row>
    <row r="329" spans="1:70" s="1" customFormat="1" ht="83.25" customHeight="1">
      <c r="A329" s="79" t="s">
        <v>46</v>
      </c>
      <c r="B329" s="80"/>
      <c r="C329" s="42"/>
      <c r="D329" s="42"/>
      <c r="E329" s="42"/>
      <c r="F329" s="42"/>
      <c r="G329" s="42"/>
      <c r="H329" s="42"/>
      <c r="I329" s="28" t="s">
        <v>217</v>
      </c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30"/>
      <c r="X329" s="43" t="s">
        <v>27</v>
      </c>
      <c r="Y329" s="43"/>
      <c r="Z329" s="43"/>
      <c r="AA329" s="106" t="s">
        <v>236</v>
      </c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8"/>
      <c r="AL329" s="87">
        <v>10</v>
      </c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>
        <v>20</v>
      </c>
      <c r="AY329" s="87"/>
      <c r="AZ329" s="87"/>
      <c r="BA329" s="87"/>
      <c r="BB329" s="87"/>
      <c r="BC329" s="87"/>
      <c r="BD329" s="87"/>
      <c r="BE329" s="87"/>
      <c r="BF329" s="87"/>
      <c r="BG329" s="87"/>
      <c r="BH329" s="96">
        <f>AX329-AL329</f>
        <v>10</v>
      </c>
      <c r="BI329" s="97"/>
      <c r="BJ329" s="97"/>
      <c r="BK329" s="97"/>
      <c r="BL329" s="97"/>
      <c r="BM329" s="97"/>
      <c r="BN329" s="97"/>
      <c r="BO329" s="97"/>
      <c r="BP329" s="97"/>
      <c r="BQ329" s="97"/>
      <c r="BR329" s="98"/>
    </row>
    <row r="330" spans="1:70" s="2" customFormat="1" ht="26.25" customHeight="1">
      <c r="A330" s="65"/>
      <c r="B330" s="66"/>
      <c r="C330" s="42"/>
      <c r="D330" s="42"/>
      <c r="E330" s="42"/>
      <c r="F330" s="42"/>
      <c r="G330" s="42"/>
      <c r="H330" s="42"/>
      <c r="I330" s="28" t="s">
        <v>219</v>
      </c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30"/>
      <c r="BR330" s="11"/>
    </row>
    <row r="331" spans="1:70" s="1" customFormat="1" ht="18" customHeight="1">
      <c r="A331" s="32">
        <v>3</v>
      </c>
      <c r="B331" s="32"/>
      <c r="C331" s="92"/>
      <c r="D331" s="92"/>
      <c r="E331" s="92"/>
      <c r="F331" s="92"/>
      <c r="G331" s="92"/>
      <c r="H331" s="92"/>
      <c r="I331" s="93" t="s">
        <v>41</v>
      </c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4"/>
      <c r="BR331" s="21"/>
    </row>
    <row r="332" spans="1:70" s="2" customFormat="1" ht="36" customHeight="1">
      <c r="A332" s="40" t="s">
        <v>47</v>
      </c>
      <c r="B332" s="41"/>
      <c r="C332" s="42"/>
      <c r="D332" s="42"/>
      <c r="E332" s="42"/>
      <c r="F332" s="42"/>
      <c r="G332" s="42"/>
      <c r="H332" s="42"/>
      <c r="I332" s="28" t="s">
        <v>218</v>
      </c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30"/>
      <c r="X332" s="43" t="s">
        <v>32</v>
      </c>
      <c r="Y332" s="43"/>
      <c r="Z332" s="43"/>
      <c r="AA332" s="43" t="s">
        <v>43</v>
      </c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87">
        <f>AM326/AL329</f>
        <v>500</v>
      </c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>
        <f>AX326/AX329</f>
        <v>136.72</v>
      </c>
      <c r="AY332" s="87"/>
      <c r="AZ332" s="87"/>
      <c r="BA332" s="87"/>
      <c r="BB332" s="87"/>
      <c r="BC332" s="87"/>
      <c r="BD332" s="87"/>
      <c r="BE332" s="87"/>
      <c r="BF332" s="87"/>
      <c r="BG332" s="87"/>
      <c r="BH332" s="96">
        <f>AX332-AL332</f>
        <v>-363.28</v>
      </c>
      <c r="BI332" s="97"/>
      <c r="BJ332" s="97"/>
      <c r="BK332" s="97"/>
      <c r="BL332" s="97"/>
      <c r="BM332" s="97"/>
      <c r="BN332" s="97"/>
      <c r="BO332" s="97"/>
      <c r="BP332" s="97"/>
      <c r="BQ332" s="97"/>
      <c r="BR332" s="98"/>
    </row>
    <row r="333" spans="1:70" s="2" customFormat="1" ht="26.25" customHeight="1" hidden="1">
      <c r="A333" s="40"/>
      <c r="B333" s="41"/>
      <c r="C333" s="42"/>
      <c r="D333" s="42"/>
      <c r="E333" s="42"/>
      <c r="F333" s="42"/>
      <c r="G333" s="42"/>
      <c r="H333" s="42"/>
      <c r="I333" s="28" t="s">
        <v>220</v>
      </c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30"/>
      <c r="BR333" s="11"/>
    </row>
    <row r="334" spans="1:70" s="1" customFormat="1" ht="12" customHeight="1">
      <c r="A334" s="32">
        <v>4</v>
      </c>
      <c r="B334" s="32"/>
      <c r="C334" s="92"/>
      <c r="D334" s="92"/>
      <c r="E334" s="92"/>
      <c r="F334" s="92"/>
      <c r="G334" s="92"/>
      <c r="H334" s="92"/>
      <c r="I334" s="93" t="s">
        <v>42</v>
      </c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4"/>
      <c r="BR334" s="21"/>
    </row>
    <row r="335" spans="1:70" s="1" customFormat="1" ht="57" customHeight="1">
      <c r="A335" s="40" t="s">
        <v>69</v>
      </c>
      <c r="B335" s="41"/>
      <c r="C335" s="42"/>
      <c r="D335" s="42"/>
      <c r="E335" s="42"/>
      <c r="F335" s="42"/>
      <c r="G335" s="42"/>
      <c r="H335" s="42"/>
      <c r="I335" s="28" t="s">
        <v>224</v>
      </c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30"/>
      <c r="X335" s="43" t="s">
        <v>28</v>
      </c>
      <c r="Y335" s="43"/>
      <c r="Z335" s="43"/>
      <c r="AA335" s="43" t="s">
        <v>43</v>
      </c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221">
        <v>2.4</v>
      </c>
      <c r="AM335" s="221"/>
      <c r="AN335" s="221"/>
      <c r="AO335" s="221"/>
      <c r="AP335" s="221"/>
      <c r="AQ335" s="221"/>
      <c r="AR335" s="221"/>
      <c r="AS335" s="221"/>
      <c r="AT335" s="221"/>
      <c r="AU335" s="221"/>
      <c r="AV335" s="221"/>
      <c r="AW335" s="221"/>
      <c r="AX335" s="214">
        <v>2.4</v>
      </c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33">
        <f>AX335-AL335</f>
        <v>0</v>
      </c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9"/>
    </row>
    <row r="336" spans="1:70" s="1" customFormat="1" ht="21" customHeight="1">
      <c r="A336" s="40" t="s">
        <v>226</v>
      </c>
      <c r="B336" s="41"/>
      <c r="C336" s="42"/>
      <c r="D336" s="42"/>
      <c r="E336" s="42"/>
      <c r="F336" s="42"/>
      <c r="G336" s="42"/>
      <c r="H336" s="42"/>
      <c r="I336" s="28" t="s">
        <v>225</v>
      </c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30"/>
      <c r="X336" s="43" t="s">
        <v>27</v>
      </c>
      <c r="Y336" s="43"/>
      <c r="Z336" s="43"/>
      <c r="AA336" s="43" t="s">
        <v>43</v>
      </c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87">
        <v>90</v>
      </c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>
        <v>66</v>
      </c>
      <c r="AY336" s="87"/>
      <c r="AZ336" s="87"/>
      <c r="BA336" s="87"/>
      <c r="BB336" s="87"/>
      <c r="BC336" s="87"/>
      <c r="BD336" s="87"/>
      <c r="BE336" s="87"/>
      <c r="BF336" s="87"/>
      <c r="BG336" s="87"/>
      <c r="BH336" s="96">
        <f>AX336-AL336</f>
        <v>-24</v>
      </c>
      <c r="BI336" s="97"/>
      <c r="BJ336" s="97"/>
      <c r="BK336" s="97"/>
      <c r="BL336" s="97"/>
      <c r="BM336" s="97"/>
      <c r="BN336" s="97"/>
      <c r="BO336" s="97"/>
      <c r="BP336" s="97"/>
      <c r="BQ336" s="97"/>
      <c r="BR336" s="98"/>
    </row>
    <row r="337" spans="1:70" s="1" customFormat="1" ht="39" customHeight="1">
      <c r="A337" s="40" t="s">
        <v>227</v>
      </c>
      <c r="B337" s="41"/>
      <c r="C337" s="42"/>
      <c r="D337" s="42"/>
      <c r="E337" s="42"/>
      <c r="F337" s="42"/>
      <c r="G337" s="42"/>
      <c r="H337" s="42"/>
      <c r="I337" s="28" t="s">
        <v>229</v>
      </c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30"/>
      <c r="X337" s="43" t="s">
        <v>28</v>
      </c>
      <c r="Y337" s="43"/>
      <c r="Z337" s="43"/>
      <c r="AA337" s="43" t="s">
        <v>43</v>
      </c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194">
        <v>1.2</v>
      </c>
      <c r="AM337" s="194"/>
      <c r="AN337" s="194"/>
      <c r="AO337" s="194"/>
      <c r="AP337" s="194"/>
      <c r="AQ337" s="194"/>
      <c r="AR337" s="194"/>
      <c r="AS337" s="194"/>
      <c r="AT337" s="194"/>
      <c r="AU337" s="194"/>
      <c r="AV337" s="194"/>
      <c r="AW337" s="194"/>
      <c r="AX337" s="194">
        <f>66/55</f>
        <v>1.2</v>
      </c>
      <c r="AY337" s="194"/>
      <c r="AZ337" s="194"/>
      <c r="BA337" s="194"/>
      <c r="BB337" s="194"/>
      <c r="BC337" s="194"/>
      <c r="BD337" s="194"/>
      <c r="BE337" s="194"/>
      <c r="BF337" s="194"/>
      <c r="BG337" s="194"/>
      <c r="BH337" s="233">
        <f>AX337-AL337</f>
        <v>0</v>
      </c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9"/>
    </row>
    <row r="338" spans="1:70" s="1" customFormat="1" ht="34.5" customHeight="1">
      <c r="A338" s="40" t="s">
        <v>228</v>
      </c>
      <c r="B338" s="41"/>
      <c r="C338" s="42"/>
      <c r="D338" s="42"/>
      <c r="E338" s="42"/>
      <c r="F338" s="42"/>
      <c r="G338" s="42"/>
      <c r="H338" s="42"/>
      <c r="I338" s="28" t="s">
        <v>230</v>
      </c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30"/>
      <c r="X338" s="43" t="s">
        <v>72</v>
      </c>
      <c r="Y338" s="43"/>
      <c r="Z338" s="43"/>
      <c r="AA338" s="43" t="s">
        <v>43</v>
      </c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87">
        <f>5000</f>
        <v>5000</v>
      </c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31">
        <f>12700</f>
        <v>12700</v>
      </c>
      <c r="AY338" s="31"/>
      <c r="AZ338" s="31"/>
      <c r="BA338" s="31"/>
      <c r="BB338" s="31"/>
      <c r="BC338" s="31"/>
      <c r="BD338" s="31"/>
      <c r="BE338" s="31"/>
      <c r="BF338" s="31"/>
      <c r="BG338" s="31"/>
      <c r="BH338" s="96">
        <f>AX338-AL338</f>
        <v>7700</v>
      </c>
      <c r="BI338" s="97"/>
      <c r="BJ338" s="97"/>
      <c r="BK338" s="97"/>
      <c r="BL338" s="97"/>
      <c r="BM338" s="97"/>
      <c r="BN338" s="97"/>
      <c r="BO338" s="97"/>
      <c r="BP338" s="97"/>
      <c r="BQ338" s="97"/>
      <c r="BR338" s="98"/>
    </row>
    <row r="339" spans="1:70" s="1" customFormat="1" ht="46.5" customHeight="1">
      <c r="A339" s="40" t="s">
        <v>356</v>
      </c>
      <c r="B339" s="41"/>
      <c r="C339" s="42"/>
      <c r="D339" s="42"/>
      <c r="E339" s="42"/>
      <c r="F339" s="42"/>
      <c r="G339" s="42"/>
      <c r="H339" s="42"/>
      <c r="I339" s="28" t="s">
        <v>357</v>
      </c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30"/>
      <c r="X339" s="43" t="s">
        <v>72</v>
      </c>
      <c r="Y339" s="43"/>
      <c r="Z339" s="43"/>
      <c r="AA339" s="43" t="s">
        <v>43</v>
      </c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87" t="s">
        <v>49</v>
      </c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234">
        <f>AX338/6500</f>
        <v>1.9538461538461538</v>
      </c>
      <c r="AY339" s="234"/>
      <c r="AZ339" s="234"/>
      <c r="BA339" s="234"/>
      <c r="BB339" s="234"/>
      <c r="BC339" s="234"/>
      <c r="BD339" s="234"/>
      <c r="BE339" s="234"/>
      <c r="BF339" s="234"/>
      <c r="BG339" s="234"/>
      <c r="BH339" s="233" t="e">
        <f>AX339-AL339</f>
        <v>#VALUE!</v>
      </c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9"/>
    </row>
    <row r="340" spans="1:70" s="2" customFormat="1" ht="30.75" customHeight="1">
      <c r="A340" s="89" t="s">
        <v>358</v>
      </c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1"/>
      <c r="BR340" s="11"/>
    </row>
    <row r="341" spans="1:70" s="2" customFormat="1" ht="16.5" customHeight="1">
      <c r="A341" s="65"/>
      <c r="B341" s="66"/>
      <c r="C341" s="42"/>
      <c r="D341" s="42"/>
      <c r="E341" s="42"/>
      <c r="F341" s="42"/>
      <c r="G341" s="42"/>
      <c r="H341" s="42"/>
      <c r="I341" s="81" t="s">
        <v>251</v>
      </c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3"/>
      <c r="BR341" s="11"/>
    </row>
    <row r="342" spans="1:70" s="1" customFormat="1" ht="21" customHeight="1">
      <c r="A342" s="32">
        <v>1</v>
      </c>
      <c r="B342" s="32"/>
      <c r="C342" s="33"/>
      <c r="D342" s="34"/>
      <c r="E342" s="34"/>
      <c r="F342" s="34"/>
      <c r="G342" s="34"/>
      <c r="H342" s="35"/>
      <c r="I342" s="95" t="s">
        <v>50</v>
      </c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21"/>
    </row>
    <row r="343" spans="1:70" s="1" customFormat="1" ht="72.75" customHeight="1">
      <c r="A343" s="40" t="s">
        <v>44</v>
      </c>
      <c r="B343" s="41"/>
      <c r="C343" s="42"/>
      <c r="D343" s="42"/>
      <c r="E343" s="42"/>
      <c r="F343" s="42"/>
      <c r="G343" s="42"/>
      <c r="H343" s="42"/>
      <c r="I343" s="28" t="s">
        <v>12</v>
      </c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30"/>
      <c r="X343" s="43" t="s">
        <v>32</v>
      </c>
      <c r="Y343" s="43"/>
      <c r="Z343" s="43"/>
      <c r="AA343" s="39" t="s">
        <v>101</v>
      </c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7">
        <v>238800</v>
      </c>
      <c r="AN343" s="37"/>
      <c r="AO343" s="37"/>
      <c r="AP343" s="37"/>
      <c r="AQ343" s="37"/>
      <c r="AR343" s="37"/>
      <c r="AS343" s="37"/>
      <c r="AT343" s="37"/>
      <c r="AU343" s="37"/>
      <c r="AV343" s="37"/>
      <c r="AW343" s="38"/>
      <c r="AX343" s="31">
        <f>198280.49</f>
        <v>198280.49</v>
      </c>
      <c r="AY343" s="31"/>
      <c r="AZ343" s="31"/>
      <c r="BA343" s="31"/>
      <c r="BB343" s="31"/>
      <c r="BC343" s="31"/>
      <c r="BD343" s="31"/>
      <c r="BE343" s="31"/>
      <c r="BF343" s="31"/>
      <c r="BG343" s="31"/>
      <c r="BH343" s="102">
        <f>AX343-AM343</f>
        <v>-40519.51000000001</v>
      </c>
      <c r="BI343" s="37"/>
      <c r="BJ343" s="37"/>
      <c r="BK343" s="37"/>
      <c r="BL343" s="37"/>
      <c r="BM343" s="37"/>
      <c r="BN343" s="37"/>
      <c r="BO343" s="37"/>
      <c r="BP343" s="37"/>
      <c r="BQ343" s="37"/>
      <c r="BR343" s="38"/>
    </row>
    <row r="344" spans="1:70" s="2" customFormat="1" ht="63" customHeight="1">
      <c r="A344" s="40" t="s">
        <v>44</v>
      </c>
      <c r="B344" s="41"/>
      <c r="C344" s="42"/>
      <c r="D344" s="42"/>
      <c r="E344" s="42"/>
      <c r="F344" s="42"/>
      <c r="G344" s="42"/>
      <c r="H344" s="42"/>
      <c r="I344" s="28" t="s">
        <v>13</v>
      </c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30"/>
      <c r="X344" s="43" t="s">
        <v>32</v>
      </c>
      <c r="Y344" s="43"/>
      <c r="Z344" s="43"/>
      <c r="AA344" s="39" t="s">
        <v>101</v>
      </c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7">
        <v>17200</v>
      </c>
      <c r="AN344" s="37"/>
      <c r="AO344" s="37"/>
      <c r="AP344" s="37"/>
      <c r="AQ344" s="37"/>
      <c r="AR344" s="37"/>
      <c r="AS344" s="37"/>
      <c r="AT344" s="37"/>
      <c r="AU344" s="37"/>
      <c r="AV344" s="37"/>
      <c r="AW344" s="38"/>
      <c r="AX344" s="31">
        <f>16824.04</f>
        <v>16824.04</v>
      </c>
      <c r="AY344" s="31"/>
      <c r="AZ344" s="31"/>
      <c r="BA344" s="31"/>
      <c r="BB344" s="31"/>
      <c r="BC344" s="31"/>
      <c r="BD344" s="31"/>
      <c r="BE344" s="31"/>
      <c r="BF344" s="31"/>
      <c r="BG344" s="31"/>
      <c r="BH344" s="102">
        <f>AX344-AM344</f>
        <v>-375.9599999999991</v>
      </c>
      <c r="BI344" s="37"/>
      <c r="BJ344" s="37"/>
      <c r="BK344" s="37"/>
      <c r="BL344" s="37"/>
      <c r="BM344" s="37"/>
      <c r="BN344" s="37"/>
      <c r="BO344" s="37"/>
      <c r="BP344" s="37"/>
      <c r="BQ344" s="37"/>
      <c r="BR344" s="38"/>
    </row>
    <row r="345" spans="1:70" s="2" customFormat="1" ht="51" customHeight="1">
      <c r="A345" s="65"/>
      <c r="B345" s="66"/>
      <c r="C345" s="42"/>
      <c r="D345" s="42"/>
      <c r="E345" s="42"/>
      <c r="F345" s="42"/>
      <c r="G345" s="42"/>
      <c r="H345" s="42"/>
      <c r="I345" s="28" t="s">
        <v>231</v>
      </c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30"/>
      <c r="BR345" s="11"/>
    </row>
    <row r="346" spans="1:70" ht="16.5" customHeight="1">
      <c r="A346" s="58">
        <v>2</v>
      </c>
      <c r="B346" s="58"/>
      <c r="C346" s="59"/>
      <c r="D346" s="59"/>
      <c r="E346" s="59"/>
      <c r="F346" s="59"/>
      <c r="G346" s="59"/>
      <c r="H346" s="59"/>
      <c r="I346" s="176" t="s">
        <v>40</v>
      </c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176"/>
      <c r="AA346" s="176"/>
      <c r="AB346" s="176"/>
      <c r="AC346" s="176"/>
      <c r="AD346" s="176"/>
      <c r="AE346" s="176"/>
      <c r="AF346" s="176"/>
      <c r="AG346" s="176"/>
      <c r="AH346" s="176"/>
      <c r="AI346" s="176"/>
      <c r="AJ346" s="176"/>
      <c r="AK346" s="176"/>
      <c r="AL346" s="176"/>
      <c r="AM346" s="176"/>
      <c r="AN346" s="176"/>
      <c r="AO346" s="176"/>
      <c r="AP346" s="176"/>
      <c r="AQ346" s="176"/>
      <c r="AR346" s="176"/>
      <c r="AS346" s="176"/>
      <c r="AT346" s="176"/>
      <c r="AU346" s="176"/>
      <c r="AV346" s="176"/>
      <c r="AW346" s="176"/>
      <c r="AX346" s="176"/>
      <c r="AY346" s="176"/>
      <c r="AZ346" s="176"/>
      <c r="BA346" s="176"/>
      <c r="BB346" s="176"/>
      <c r="BC346" s="176"/>
      <c r="BD346" s="176"/>
      <c r="BE346" s="176"/>
      <c r="BF346" s="176"/>
      <c r="BG346" s="176"/>
      <c r="BH346" s="176"/>
      <c r="BI346" s="176"/>
      <c r="BJ346" s="176"/>
      <c r="BK346" s="176"/>
      <c r="BL346" s="176"/>
      <c r="BM346" s="176"/>
      <c r="BN346" s="176"/>
      <c r="BO346" s="176"/>
      <c r="BP346" s="176"/>
      <c r="BQ346" s="177"/>
      <c r="BR346" s="20"/>
    </row>
    <row r="347" spans="1:70" s="1" customFormat="1" ht="46.5" customHeight="1">
      <c r="A347" s="79" t="s">
        <v>46</v>
      </c>
      <c r="B347" s="80"/>
      <c r="C347" s="42"/>
      <c r="D347" s="42"/>
      <c r="E347" s="42"/>
      <c r="F347" s="42"/>
      <c r="G347" s="42"/>
      <c r="H347" s="42"/>
      <c r="I347" s="28" t="s">
        <v>15</v>
      </c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30"/>
      <c r="X347" s="43" t="s">
        <v>27</v>
      </c>
      <c r="Y347" s="43"/>
      <c r="Z347" s="43"/>
      <c r="AA347" s="106" t="s">
        <v>236</v>
      </c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8"/>
      <c r="AL347" s="87">
        <v>3</v>
      </c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>
        <v>2</v>
      </c>
      <c r="AY347" s="87"/>
      <c r="AZ347" s="87"/>
      <c r="BA347" s="87"/>
      <c r="BB347" s="87"/>
      <c r="BC347" s="87"/>
      <c r="BD347" s="87"/>
      <c r="BE347" s="87"/>
      <c r="BF347" s="87"/>
      <c r="BG347" s="87"/>
      <c r="BH347" s="96">
        <f>AX347-AL347</f>
        <v>-1</v>
      </c>
      <c r="BI347" s="97"/>
      <c r="BJ347" s="97"/>
      <c r="BK347" s="97"/>
      <c r="BL347" s="97"/>
      <c r="BM347" s="97"/>
      <c r="BN347" s="97"/>
      <c r="BO347" s="97"/>
      <c r="BP347" s="97"/>
      <c r="BQ347" s="97"/>
      <c r="BR347" s="98"/>
    </row>
    <row r="348" spans="1:70" s="1" customFormat="1" ht="45" customHeight="1">
      <c r="A348" s="79" t="s">
        <v>58</v>
      </c>
      <c r="B348" s="80"/>
      <c r="C348" s="42"/>
      <c r="D348" s="42"/>
      <c r="E348" s="42"/>
      <c r="F348" s="42"/>
      <c r="G348" s="42"/>
      <c r="H348" s="42"/>
      <c r="I348" s="28" t="s">
        <v>233</v>
      </c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30"/>
      <c r="X348" s="43" t="s">
        <v>32</v>
      </c>
      <c r="Y348" s="43"/>
      <c r="Z348" s="43"/>
      <c r="AA348" s="180"/>
      <c r="AB348" s="181"/>
      <c r="AC348" s="181"/>
      <c r="AD348" s="181"/>
      <c r="AE348" s="181"/>
      <c r="AF348" s="181"/>
      <c r="AG348" s="181"/>
      <c r="AH348" s="181"/>
      <c r="AI348" s="181"/>
      <c r="AJ348" s="181"/>
      <c r="AK348" s="182"/>
      <c r="AL348" s="87">
        <v>1</v>
      </c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>
        <v>2</v>
      </c>
      <c r="AY348" s="87"/>
      <c r="AZ348" s="87"/>
      <c r="BA348" s="87"/>
      <c r="BB348" s="87"/>
      <c r="BC348" s="87"/>
      <c r="BD348" s="87"/>
      <c r="BE348" s="87"/>
      <c r="BF348" s="87"/>
      <c r="BG348" s="87"/>
      <c r="BH348" s="96">
        <f>AX348-AL348</f>
        <v>1</v>
      </c>
      <c r="BI348" s="97"/>
      <c r="BJ348" s="97"/>
      <c r="BK348" s="97"/>
      <c r="BL348" s="97"/>
      <c r="BM348" s="97"/>
      <c r="BN348" s="97"/>
      <c r="BO348" s="97"/>
      <c r="BP348" s="97"/>
      <c r="BQ348" s="97"/>
      <c r="BR348" s="98"/>
    </row>
    <row r="349" spans="1:70" s="2" customFormat="1" ht="39" customHeight="1">
      <c r="A349" s="65"/>
      <c r="B349" s="66"/>
      <c r="C349" s="42"/>
      <c r="D349" s="42"/>
      <c r="E349" s="42"/>
      <c r="F349" s="42"/>
      <c r="G349" s="42"/>
      <c r="H349" s="42"/>
      <c r="I349" s="28" t="s">
        <v>232</v>
      </c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30"/>
      <c r="BR349" s="11"/>
    </row>
    <row r="350" spans="1:70" s="1" customFormat="1" ht="18" customHeight="1">
      <c r="A350" s="32">
        <v>3</v>
      </c>
      <c r="B350" s="32"/>
      <c r="C350" s="92"/>
      <c r="D350" s="92"/>
      <c r="E350" s="92"/>
      <c r="F350" s="92"/>
      <c r="G350" s="92"/>
      <c r="H350" s="92"/>
      <c r="I350" s="93" t="s">
        <v>41</v>
      </c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4"/>
      <c r="BR350" s="21"/>
    </row>
    <row r="351" spans="1:70" s="2" customFormat="1" ht="33" customHeight="1">
      <c r="A351" s="40" t="s">
        <v>47</v>
      </c>
      <c r="B351" s="41"/>
      <c r="C351" s="42"/>
      <c r="D351" s="42"/>
      <c r="E351" s="42"/>
      <c r="F351" s="42"/>
      <c r="G351" s="42"/>
      <c r="H351" s="42"/>
      <c r="I351" s="28" t="s">
        <v>16</v>
      </c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30"/>
      <c r="X351" s="43" t="s">
        <v>32</v>
      </c>
      <c r="Y351" s="43"/>
      <c r="Z351" s="43"/>
      <c r="AA351" s="43" t="s">
        <v>43</v>
      </c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87">
        <f>AM343/AL347</f>
        <v>79600</v>
      </c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>
        <f>AX343/AX347</f>
        <v>99140.245</v>
      </c>
      <c r="AY351" s="87"/>
      <c r="AZ351" s="87"/>
      <c r="BA351" s="87"/>
      <c r="BB351" s="87"/>
      <c r="BC351" s="87"/>
      <c r="BD351" s="87"/>
      <c r="BE351" s="87"/>
      <c r="BF351" s="87"/>
      <c r="BG351" s="87"/>
      <c r="BH351" s="96">
        <f>AX351-AL351</f>
        <v>19540.244999999995</v>
      </c>
      <c r="BI351" s="97"/>
      <c r="BJ351" s="97"/>
      <c r="BK351" s="97"/>
      <c r="BL351" s="97"/>
      <c r="BM351" s="97"/>
      <c r="BN351" s="97"/>
      <c r="BO351" s="97"/>
      <c r="BP351" s="97"/>
      <c r="BQ351" s="97"/>
      <c r="BR351" s="98"/>
    </row>
    <row r="352" spans="1:70" s="2" customFormat="1" ht="50.25" customHeight="1">
      <c r="A352" s="40" t="s">
        <v>77</v>
      </c>
      <c r="B352" s="41"/>
      <c r="C352" s="42"/>
      <c r="D352" s="42"/>
      <c r="E352" s="42"/>
      <c r="F352" s="42"/>
      <c r="G352" s="42"/>
      <c r="H352" s="42"/>
      <c r="I352" s="28" t="s">
        <v>234</v>
      </c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30"/>
      <c r="X352" s="43" t="s">
        <v>32</v>
      </c>
      <c r="Y352" s="43"/>
      <c r="Z352" s="43"/>
      <c r="AA352" s="43" t="s">
        <v>43</v>
      </c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87">
        <f>AM344/AL348</f>
        <v>17200</v>
      </c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>
        <f>AX344/AX348</f>
        <v>8412.02</v>
      </c>
      <c r="AY352" s="87"/>
      <c r="AZ352" s="87"/>
      <c r="BA352" s="87"/>
      <c r="BB352" s="87"/>
      <c r="BC352" s="87"/>
      <c r="BD352" s="87"/>
      <c r="BE352" s="87"/>
      <c r="BF352" s="87"/>
      <c r="BG352" s="87"/>
      <c r="BH352" s="96">
        <f>AX352-AL352</f>
        <v>-8787.98</v>
      </c>
      <c r="BI352" s="97"/>
      <c r="BJ352" s="97"/>
      <c r="BK352" s="97"/>
      <c r="BL352" s="97"/>
      <c r="BM352" s="97"/>
      <c r="BN352" s="97"/>
      <c r="BO352" s="97"/>
      <c r="BP352" s="97"/>
      <c r="BQ352" s="97"/>
      <c r="BR352" s="98"/>
    </row>
    <row r="353" spans="1:70" s="2" customFormat="1" ht="31.5" customHeight="1">
      <c r="A353" s="65"/>
      <c r="B353" s="66"/>
      <c r="C353" s="42"/>
      <c r="D353" s="42"/>
      <c r="E353" s="42"/>
      <c r="F353" s="42"/>
      <c r="G353" s="42"/>
      <c r="H353" s="42"/>
      <c r="I353" s="28" t="s">
        <v>235</v>
      </c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30"/>
      <c r="BR353" s="11"/>
    </row>
    <row r="354" spans="1:70" s="2" customFormat="1" ht="16.5" customHeight="1">
      <c r="A354" s="65"/>
      <c r="B354" s="66"/>
      <c r="C354" s="42"/>
      <c r="D354" s="42"/>
      <c r="E354" s="42"/>
      <c r="F354" s="42"/>
      <c r="G354" s="42"/>
      <c r="H354" s="42"/>
      <c r="I354" s="81" t="s">
        <v>252</v>
      </c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3"/>
      <c r="BR354" s="11"/>
    </row>
    <row r="355" spans="1:70" s="1" customFormat="1" ht="18" customHeight="1">
      <c r="A355" s="32">
        <v>1</v>
      </c>
      <c r="B355" s="32"/>
      <c r="C355" s="33"/>
      <c r="D355" s="34"/>
      <c r="E355" s="34"/>
      <c r="F355" s="34"/>
      <c r="G355" s="34"/>
      <c r="H355" s="35"/>
      <c r="I355" s="95" t="s">
        <v>50</v>
      </c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21"/>
    </row>
    <row r="356" spans="1:70" s="2" customFormat="1" ht="21" customHeight="1">
      <c r="A356" s="40" t="s">
        <v>44</v>
      </c>
      <c r="B356" s="41"/>
      <c r="C356" s="42"/>
      <c r="D356" s="42"/>
      <c r="E356" s="42"/>
      <c r="F356" s="42"/>
      <c r="G356" s="42"/>
      <c r="H356" s="42"/>
      <c r="I356" s="28" t="s">
        <v>75</v>
      </c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30"/>
      <c r="X356" s="43" t="s">
        <v>32</v>
      </c>
      <c r="Y356" s="43"/>
      <c r="Z356" s="43"/>
      <c r="AA356" s="39" t="s">
        <v>101</v>
      </c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7">
        <f>317020</f>
        <v>317020</v>
      </c>
      <c r="AN356" s="37"/>
      <c r="AO356" s="37"/>
      <c r="AP356" s="37"/>
      <c r="AQ356" s="37"/>
      <c r="AR356" s="37"/>
      <c r="AS356" s="37"/>
      <c r="AT356" s="37"/>
      <c r="AU356" s="37"/>
      <c r="AV356" s="37"/>
      <c r="AW356" s="38"/>
      <c r="AX356" s="31">
        <f>289724.3</f>
        <v>289724.3</v>
      </c>
      <c r="AY356" s="31"/>
      <c r="AZ356" s="31"/>
      <c r="BA356" s="31"/>
      <c r="BB356" s="31"/>
      <c r="BC356" s="31"/>
      <c r="BD356" s="31"/>
      <c r="BE356" s="31"/>
      <c r="BF356" s="31"/>
      <c r="BG356" s="31"/>
      <c r="BH356" s="102">
        <f>AX356-AM356</f>
        <v>-27295.70000000001</v>
      </c>
      <c r="BI356" s="37"/>
      <c r="BJ356" s="37"/>
      <c r="BK356" s="37"/>
      <c r="BL356" s="37"/>
      <c r="BM356" s="37"/>
      <c r="BN356" s="37"/>
      <c r="BO356" s="37"/>
      <c r="BP356" s="37"/>
      <c r="BQ356" s="37"/>
      <c r="BR356" s="38"/>
    </row>
    <row r="357" spans="1:70" s="2" customFormat="1" ht="47.25" customHeight="1">
      <c r="A357" s="65"/>
      <c r="B357" s="66"/>
      <c r="C357" s="42"/>
      <c r="D357" s="42"/>
      <c r="E357" s="42"/>
      <c r="F357" s="42"/>
      <c r="G357" s="42"/>
      <c r="H357" s="42"/>
      <c r="I357" s="28" t="s">
        <v>237</v>
      </c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30"/>
    </row>
    <row r="358" spans="1:70" s="1" customFormat="1" ht="21" customHeight="1">
      <c r="A358" s="32">
        <v>2</v>
      </c>
      <c r="B358" s="32"/>
      <c r="C358" s="92"/>
      <c r="D358" s="92"/>
      <c r="E358" s="92"/>
      <c r="F358" s="92"/>
      <c r="G358" s="92"/>
      <c r="H358" s="92"/>
      <c r="I358" s="93" t="s">
        <v>40</v>
      </c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3"/>
      <c r="BG358" s="93"/>
      <c r="BH358" s="93"/>
      <c r="BI358" s="93"/>
      <c r="BJ358" s="93"/>
      <c r="BK358" s="93"/>
      <c r="BL358" s="93"/>
      <c r="BM358" s="93"/>
      <c r="BN358" s="93"/>
      <c r="BO358" s="93"/>
      <c r="BP358" s="93"/>
      <c r="BQ358" s="94"/>
      <c r="BR358" s="21"/>
    </row>
    <row r="359" spans="1:70" s="1" customFormat="1" ht="38.25" customHeight="1">
      <c r="A359" s="79" t="s">
        <v>46</v>
      </c>
      <c r="B359" s="80"/>
      <c r="C359" s="42"/>
      <c r="D359" s="42"/>
      <c r="E359" s="42"/>
      <c r="F359" s="42"/>
      <c r="G359" s="42"/>
      <c r="H359" s="42"/>
      <c r="I359" s="28" t="s">
        <v>238</v>
      </c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30"/>
      <c r="X359" s="43" t="s">
        <v>27</v>
      </c>
      <c r="Y359" s="43"/>
      <c r="Z359" s="43"/>
      <c r="AA359" s="106" t="s">
        <v>236</v>
      </c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8"/>
      <c r="AL359" s="87">
        <v>2</v>
      </c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>
        <v>2</v>
      </c>
      <c r="AY359" s="87"/>
      <c r="AZ359" s="87"/>
      <c r="BA359" s="87"/>
      <c r="BB359" s="87"/>
      <c r="BC359" s="87"/>
      <c r="BD359" s="87"/>
      <c r="BE359" s="87"/>
      <c r="BF359" s="87"/>
      <c r="BG359" s="87"/>
      <c r="BH359" s="96">
        <f>AX359-AL359</f>
        <v>0</v>
      </c>
      <c r="BI359" s="97"/>
      <c r="BJ359" s="97"/>
      <c r="BK359" s="97"/>
      <c r="BL359" s="97"/>
      <c r="BM359" s="97"/>
      <c r="BN359" s="97"/>
      <c r="BO359" s="97"/>
      <c r="BP359" s="97"/>
      <c r="BQ359" s="97"/>
      <c r="BR359" s="98"/>
    </row>
    <row r="360" spans="1:70" s="1" customFormat="1" ht="45.75" customHeight="1">
      <c r="A360" s="79" t="s">
        <v>58</v>
      </c>
      <c r="B360" s="80"/>
      <c r="C360" s="42"/>
      <c r="D360" s="42"/>
      <c r="E360" s="42"/>
      <c r="F360" s="42"/>
      <c r="G360" s="42"/>
      <c r="H360" s="42"/>
      <c r="I360" s="28" t="s">
        <v>239</v>
      </c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30"/>
      <c r="X360" s="43" t="s">
        <v>27</v>
      </c>
      <c r="Y360" s="43"/>
      <c r="Z360" s="43"/>
      <c r="AA360" s="222"/>
      <c r="AB360" s="223"/>
      <c r="AC360" s="223"/>
      <c r="AD360" s="223"/>
      <c r="AE360" s="223"/>
      <c r="AF360" s="223"/>
      <c r="AG360" s="223"/>
      <c r="AH360" s="223"/>
      <c r="AI360" s="223"/>
      <c r="AJ360" s="223"/>
      <c r="AK360" s="224"/>
      <c r="AL360" s="87">
        <v>4</v>
      </c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>
        <v>4</v>
      </c>
      <c r="AY360" s="87"/>
      <c r="AZ360" s="87"/>
      <c r="BA360" s="87"/>
      <c r="BB360" s="87"/>
      <c r="BC360" s="87"/>
      <c r="BD360" s="87"/>
      <c r="BE360" s="87"/>
      <c r="BF360" s="87"/>
      <c r="BG360" s="87"/>
      <c r="BH360" s="96">
        <f>AX360-AL360</f>
        <v>0</v>
      </c>
      <c r="BI360" s="97"/>
      <c r="BJ360" s="97"/>
      <c r="BK360" s="97"/>
      <c r="BL360" s="97"/>
      <c r="BM360" s="97"/>
      <c r="BN360" s="97"/>
      <c r="BO360" s="97"/>
      <c r="BP360" s="97"/>
      <c r="BQ360" s="97"/>
      <c r="BR360" s="98"/>
    </row>
    <row r="361" spans="1:70" s="1" customFormat="1" ht="17.25" customHeight="1">
      <c r="A361" s="32">
        <v>3</v>
      </c>
      <c r="B361" s="32"/>
      <c r="C361" s="92"/>
      <c r="D361" s="92"/>
      <c r="E361" s="92"/>
      <c r="F361" s="92"/>
      <c r="G361" s="92"/>
      <c r="H361" s="92"/>
      <c r="I361" s="93" t="s">
        <v>41</v>
      </c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3"/>
      <c r="BG361" s="93"/>
      <c r="BH361" s="93"/>
      <c r="BI361" s="93"/>
      <c r="BJ361" s="93"/>
      <c r="BK361" s="93"/>
      <c r="BL361" s="93"/>
      <c r="BM361" s="93"/>
      <c r="BN361" s="93"/>
      <c r="BO361" s="93"/>
      <c r="BP361" s="93"/>
      <c r="BQ361" s="94"/>
      <c r="BR361" s="21"/>
    </row>
    <row r="362" spans="1:70" s="2" customFormat="1" ht="37.5" customHeight="1">
      <c r="A362" s="40" t="s">
        <v>47</v>
      </c>
      <c r="B362" s="41"/>
      <c r="C362" s="42"/>
      <c r="D362" s="42"/>
      <c r="E362" s="42"/>
      <c r="F362" s="42"/>
      <c r="G362" s="42"/>
      <c r="H362" s="42"/>
      <c r="I362" s="28" t="s">
        <v>240</v>
      </c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30"/>
      <c r="X362" s="43" t="s">
        <v>32</v>
      </c>
      <c r="Y362" s="43"/>
      <c r="Z362" s="43"/>
      <c r="AA362" s="43" t="s">
        <v>43</v>
      </c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31">
        <f>(21450+198870+2950)/2</f>
        <v>111635</v>
      </c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87">
        <f>(21450+198854.3+2950)/2</f>
        <v>111627.15</v>
      </c>
      <c r="AY362" s="87"/>
      <c r="AZ362" s="87"/>
      <c r="BA362" s="87"/>
      <c r="BB362" s="87"/>
      <c r="BC362" s="87"/>
      <c r="BD362" s="87"/>
      <c r="BE362" s="87"/>
      <c r="BF362" s="87"/>
      <c r="BG362" s="87"/>
      <c r="BH362" s="96">
        <f>AX362-AL362</f>
        <v>-7.850000000005821</v>
      </c>
      <c r="BI362" s="97"/>
      <c r="BJ362" s="97"/>
      <c r="BK362" s="97"/>
      <c r="BL362" s="97"/>
      <c r="BM362" s="97"/>
      <c r="BN362" s="97"/>
      <c r="BO362" s="97"/>
      <c r="BP362" s="97"/>
      <c r="BQ362" s="97"/>
      <c r="BR362" s="98"/>
    </row>
    <row r="363" spans="1:70" s="2" customFormat="1" ht="40.5" customHeight="1">
      <c r="A363" s="40" t="s">
        <v>77</v>
      </c>
      <c r="B363" s="41"/>
      <c r="C363" s="42"/>
      <c r="D363" s="42"/>
      <c r="E363" s="42"/>
      <c r="F363" s="42"/>
      <c r="G363" s="42"/>
      <c r="H363" s="42"/>
      <c r="I363" s="28" t="s">
        <v>241</v>
      </c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30"/>
      <c r="X363" s="43" t="s">
        <v>32</v>
      </c>
      <c r="Y363" s="43"/>
      <c r="Z363" s="43"/>
      <c r="AA363" s="43" t="s">
        <v>43</v>
      </c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31">
        <f>(38800+12250+22600+6000+14100)/4</f>
        <v>23437.5</v>
      </c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87">
        <f>(35000+3360+22110+6000)/4</f>
        <v>16617.5</v>
      </c>
      <c r="AY363" s="87"/>
      <c r="AZ363" s="87"/>
      <c r="BA363" s="87"/>
      <c r="BB363" s="87"/>
      <c r="BC363" s="87"/>
      <c r="BD363" s="87"/>
      <c r="BE363" s="87"/>
      <c r="BF363" s="87"/>
      <c r="BG363" s="87"/>
      <c r="BH363" s="96">
        <f>AX363-AL363</f>
        <v>-6820</v>
      </c>
      <c r="BI363" s="97"/>
      <c r="BJ363" s="97"/>
      <c r="BK363" s="97"/>
      <c r="BL363" s="97"/>
      <c r="BM363" s="97"/>
      <c r="BN363" s="97"/>
      <c r="BO363" s="97"/>
      <c r="BP363" s="97"/>
      <c r="BQ363" s="97"/>
      <c r="BR363" s="98"/>
    </row>
    <row r="364" spans="1:70" s="2" customFormat="1" ht="48" customHeight="1">
      <c r="A364" s="65"/>
      <c r="B364" s="66"/>
      <c r="C364" s="42"/>
      <c r="D364" s="42"/>
      <c r="E364" s="42"/>
      <c r="F364" s="42"/>
      <c r="G364" s="42"/>
      <c r="H364" s="42"/>
      <c r="I364" s="28" t="s">
        <v>383</v>
      </c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30"/>
    </row>
    <row r="365" spans="1:70" s="1" customFormat="1" ht="27.75" customHeight="1" hidden="1">
      <c r="A365" s="32">
        <v>4</v>
      </c>
      <c r="B365" s="32"/>
      <c r="C365" s="92"/>
      <c r="D365" s="92"/>
      <c r="E365" s="92"/>
      <c r="F365" s="92"/>
      <c r="G365" s="92"/>
      <c r="H365" s="92"/>
      <c r="I365" s="93" t="s">
        <v>42</v>
      </c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3"/>
      <c r="BG365" s="93"/>
      <c r="BH365" s="93"/>
      <c r="BI365" s="93"/>
      <c r="BJ365" s="93"/>
      <c r="BK365" s="93"/>
      <c r="BL365" s="93"/>
      <c r="BM365" s="93"/>
      <c r="BN365" s="93"/>
      <c r="BO365" s="93"/>
      <c r="BP365" s="93"/>
      <c r="BQ365" s="94"/>
      <c r="BR365" s="21"/>
    </row>
    <row r="366" spans="1:70" s="1" customFormat="1" ht="21" customHeight="1" hidden="1">
      <c r="A366" s="40" t="s">
        <v>69</v>
      </c>
      <c r="B366" s="41"/>
      <c r="C366" s="42"/>
      <c r="D366" s="42"/>
      <c r="E366" s="42"/>
      <c r="F366" s="42"/>
      <c r="G366" s="42"/>
      <c r="H366" s="42"/>
      <c r="I366" s="28" t="s">
        <v>76</v>
      </c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30"/>
      <c r="X366" s="43" t="s">
        <v>28</v>
      </c>
      <c r="Y366" s="43"/>
      <c r="Z366" s="43"/>
      <c r="AA366" s="43" t="s">
        <v>43</v>
      </c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194">
        <f>23438/29456</f>
        <v>0.7956952743074416</v>
      </c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>
        <f>16618/30111</f>
        <v>0.5518913353923816</v>
      </c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5">
        <f>AX366/AL366</f>
        <v>0.6935963467581702</v>
      </c>
      <c r="BI366" s="195"/>
      <c r="BJ366" s="195"/>
      <c r="BK366" s="195"/>
      <c r="BL366" s="195"/>
      <c r="BM366" s="195"/>
      <c r="BN366" s="195"/>
      <c r="BO366" s="195"/>
      <c r="BP366" s="195"/>
      <c r="BQ366" s="196"/>
      <c r="BR366" s="21"/>
    </row>
    <row r="367" spans="1:70" s="2" customFormat="1" ht="16.5" customHeight="1">
      <c r="A367" s="65"/>
      <c r="B367" s="66"/>
      <c r="C367" s="42"/>
      <c r="D367" s="42"/>
      <c r="E367" s="42"/>
      <c r="F367" s="42"/>
      <c r="G367" s="42"/>
      <c r="H367" s="42"/>
      <c r="I367" s="81" t="s">
        <v>242</v>
      </c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3"/>
      <c r="BR367" s="11"/>
    </row>
    <row r="368" spans="1:70" s="1" customFormat="1" ht="18" customHeight="1">
      <c r="A368" s="32">
        <v>1</v>
      </c>
      <c r="B368" s="32"/>
      <c r="C368" s="33"/>
      <c r="D368" s="34"/>
      <c r="E368" s="34"/>
      <c r="F368" s="34"/>
      <c r="G368" s="34"/>
      <c r="H368" s="35"/>
      <c r="I368" s="95" t="s">
        <v>50</v>
      </c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21"/>
    </row>
    <row r="369" spans="1:70" s="2" customFormat="1" ht="42" customHeight="1">
      <c r="A369" s="40" t="s">
        <v>44</v>
      </c>
      <c r="B369" s="41"/>
      <c r="C369" s="42"/>
      <c r="D369" s="42"/>
      <c r="E369" s="42"/>
      <c r="F369" s="42"/>
      <c r="G369" s="42"/>
      <c r="H369" s="42"/>
      <c r="I369" s="28" t="s">
        <v>244</v>
      </c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30"/>
      <c r="X369" s="43" t="s">
        <v>32</v>
      </c>
      <c r="Y369" s="43"/>
      <c r="Z369" s="43"/>
      <c r="AA369" s="39" t="s">
        <v>101</v>
      </c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7">
        <v>25300</v>
      </c>
      <c r="AN369" s="37"/>
      <c r="AO369" s="37"/>
      <c r="AP369" s="37"/>
      <c r="AQ369" s="37"/>
      <c r="AR369" s="37"/>
      <c r="AS369" s="37"/>
      <c r="AT369" s="37"/>
      <c r="AU369" s="37"/>
      <c r="AV369" s="37"/>
      <c r="AW369" s="38"/>
      <c r="AX369" s="31">
        <v>0</v>
      </c>
      <c r="AY369" s="31"/>
      <c r="AZ369" s="31"/>
      <c r="BA369" s="31"/>
      <c r="BB369" s="31"/>
      <c r="BC369" s="31"/>
      <c r="BD369" s="31"/>
      <c r="BE369" s="31"/>
      <c r="BF369" s="31"/>
      <c r="BG369" s="31"/>
      <c r="BH369" s="102">
        <f>AX369-AM369</f>
        <v>-25300</v>
      </c>
      <c r="BI369" s="37"/>
      <c r="BJ369" s="37"/>
      <c r="BK369" s="37"/>
      <c r="BL369" s="37"/>
      <c r="BM369" s="37"/>
      <c r="BN369" s="37"/>
      <c r="BO369" s="37"/>
      <c r="BP369" s="37"/>
      <c r="BQ369" s="37"/>
      <c r="BR369" s="38"/>
    </row>
    <row r="370" spans="1:70" s="2" customFormat="1" ht="27" customHeight="1">
      <c r="A370" s="65"/>
      <c r="B370" s="66"/>
      <c r="C370" s="42"/>
      <c r="D370" s="42"/>
      <c r="E370" s="42"/>
      <c r="F370" s="42"/>
      <c r="G370" s="42"/>
      <c r="H370" s="42"/>
      <c r="I370" s="28" t="s">
        <v>243</v>
      </c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30"/>
      <c r="BR370" s="11"/>
    </row>
    <row r="371" spans="1:70" s="1" customFormat="1" ht="21" customHeight="1">
      <c r="A371" s="32">
        <v>2</v>
      </c>
      <c r="B371" s="32"/>
      <c r="C371" s="92"/>
      <c r="D371" s="92"/>
      <c r="E371" s="92"/>
      <c r="F371" s="92"/>
      <c r="G371" s="92"/>
      <c r="H371" s="92"/>
      <c r="I371" s="93" t="s">
        <v>40</v>
      </c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3"/>
      <c r="BG371" s="93"/>
      <c r="BH371" s="93"/>
      <c r="BI371" s="93"/>
      <c r="BJ371" s="93"/>
      <c r="BK371" s="93"/>
      <c r="BL371" s="93"/>
      <c r="BM371" s="93"/>
      <c r="BN371" s="93"/>
      <c r="BO371" s="93"/>
      <c r="BP371" s="93"/>
      <c r="BQ371" s="94"/>
      <c r="BR371" s="21"/>
    </row>
    <row r="372" spans="1:70" s="1" customFormat="1" ht="85.5" customHeight="1">
      <c r="A372" s="79" t="s">
        <v>46</v>
      </c>
      <c r="B372" s="80"/>
      <c r="C372" s="42"/>
      <c r="D372" s="42"/>
      <c r="E372" s="42"/>
      <c r="F372" s="42"/>
      <c r="G372" s="42"/>
      <c r="H372" s="42"/>
      <c r="I372" s="28" t="s">
        <v>245</v>
      </c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30"/>
      <c r="X372" s="43" t="s">
        <v>27</v>
      </c>
      <c r="Y372" s="43"/>
      <c r="Z372" s="43"/>
      <c r="AA372" s="106" t="s">
        <v>236</v>
      </c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8"/>
      <c r="AL372" s="87">
        <v>1</v>
      </c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>
        <v>0</v>
      </c>
      <c r="AY372" s="87"/>
      <c r="AZ372" s="87"/>
      <c r="BA372" s="87"/>
      <c r="BB372" s="87"/>
      <c r="BC372" s="87"/>
      <c r="BD372" s="87"/>
      <c r="BE372" s="87"/>
      <c r="BF372" s="87"/>
      <c r="BG372" s="87"/>
      <c r="BH372" s="96">
        <f>AX372-AL372</f>
        <v>-1</v>
      </c>
      <c r="BI372" s="97"/>
      <c r="BJ372" s="97"/>
      <c r="BK372" s="97"/>
      <c r="BL372" s="97"/>
      <c r="BM372" s="97"/>
      <c r="BN372" s="97"/>
      <c r="BO372" s="97"/>
      <c r="BP372" s="97"/>
      <c r="BQ372" s="97"/>
      <c r="BR372" s="98"/>
    </row>
    <row r="373" spans="1:70" s="1" customFormat="1" ht="17.25" customHeight="1">
      <c r="A373" s="32">
        <v>3</v>
      </c>
      <c r="B373" s="32"/>
      <c r="C373" s="92"/>
      <c r="D373" s="92"/>
      <c r="E373" s="92"/>
      <c r="F373" s="92"/>
      <c r="G373" s="92"/>
      <c r="H373" s="92"/>
      <c r="I373" s="93" t="s">
        <v>41</v>
      </c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3"/>
      <c r="BG373" s="93"/>
      <c r="BH373" s="93"/>
      <c r="BI373" s="93"/>
      <c r="BJ373" s="93"/>
      <c r="BK373" s="93"/>
      <c r="BL373" s="93"/>
      <c r="BM373" s="93"/>
      <c r="BN373" s="93"/>
      <c r="BO373" s="93"/>
      <c r="BP373" s="93"/>
      <c r="BQ373" s="94"/>
      <c r="BR373" s="21"/>
    </row>
    <row r="374" spans="1:70" s="2" customFormat="1" ht="37.5" customHeight="1">
      <c r="A374" s="40" t="s">
        <v>47</v>
      </c>
      <c r="B374" s="41"/>
      <c r="C374" s="42"/>
      <c r="D374" s="42"/>
      <c r="E374" s="42"/>
      <c r="F374" s="42"/>
      <c r="G374" s="42"/>
      <c r="H374" s="42"/>
      <c r="I374" s="28" t="s">
        <v>246</v>
      </c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30"/>
      <c r="X374" s="43" t="s">
        <v>32</v>
      </c>
      <c r="Y374" s="43"/>
      <c r="Z374" s="43"/>
      <c r="AA374" s="43" t="s">
        <v>43</v>
      </c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87">
        <f>AM369/AL372</f>
        <v>25300</v>
      </c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>
        <v>0</v>
      </c>
      <c r="AY374" s="87"/>
      <c r="AZ374" s="87"/>
      <c r="BA374" s="87"/>
      <c r="BB374" s="87"/>
      <c r="BC374" s="87"/>
      <c r="BD374" s="87"/>
      <c r="BE374" s="87"/>
      <c r="BF374" s="87"/>
      <c r="BG374" s="87"/>
      <c r="BH374" s="96">
        <f>AX374-AL374</f>
        <v>-25300</v>
      </c>
      <c r="BI374" s="97"/>
      <c r="BJ374" s="97"/>
      <c r="BK374" s="97"/>
      <c r="BL374" s="97"/>
      <c r="BM374" s="97"/>
      <c r="BN374" s="97"/>
      <c r="BO374" s="97"/>
      <c r="BP374" s="97"/>
      <c r="BQ374" s="97"/>
      <c r="BR374" s="98"/>
    </row>
    <row r="375" spans="1:70" s="2" customFormat="1" ht="24" customHeight="1">
      <c r="A375" s="65"/>
      <c r="B375" s="66"/>
      <c r="C375" s="42"/>
      <c r="D375" s="42"/>
      <c r="E375" s="42"/>
      <c r="F375" s="42"/>
      <c r="G375" s="42"/>
      <c r="H375" s="42"/>
      <c r="I375" s="28" t="s">
        <v>247</v>
      </c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30"/>
      <c r="BR375" s="11"/>
    </row>
    <row r="376" spans="1:70" s="2" customFormat="1" ht="16.5" customHeight="1">
      <c r="A376" s="65"/>
      <c r="B376" s="66"/>
      <c r="C376" s="42"/>
      <c r="D376" s="42"/>
      <c r="E376" s="42"/>
      <c r="F376" s="42"/>
      <c r="G376" s="42"/>
      <c r="H376" s="42"/>
      <c r="I376" s="81" t="s">
        <v>248</v>
      </c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3"/>
      <c r="BR376" s="11"/>
    </row>
    <row r="377" spans="1:70" s="1" customFormat="1" ht="18" customHeight="1">
      <c r="A377" s="32">
        <v>1</v>
      </c>
      <c r="B377" s="32"/>
      <c r="C377" s="33"/>
      <c r="D377" s="34"/>
      <c r="E377" s="34"/>
      <c r="F377" s="34"/>
      <c r="G377" s="34"/>
      <c r="H377" s="35"/>
      <c r="I377" s="95" t="s">
        <v>50</v>
      </c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21"/>
    </row>
    <row r="378" spans="1:70" s="2" customFormat="1" ht="42" customHeight="1">
      <c r="A378" s="40" t="s">
        <v>44</v>
      </c>
      <c r="B378" s="41"/>
      <c r="C378" s="42"/>
      <c r="D378" s="42"/>
      <c r="E378" s="42"/>
      <c r="F378" s="42"/>
      <c r="G378" s="42"/>
      <c r="H378" s="42"/>
      <c r="I378" s="28" t="s">
        <v>249</v>
      </c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30"/>
      <c r="X378" s="43" t="s">
        <v>32</v>
      </c>
      <c r="Y378" s="43"/>
      <c r="Z378" s="43"/>
      <c r="AA378" s="39" t="s">
        <v>101</v>
      </c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7">
        <v>57300</v>
      </c>
      <c r="AN378" s="37"/>
      <c r="AO378" s="37"/>
      <c r="AP378" s="37"/>
      <c r="AQ378" s="37"/>
      <c r="AR378" s="37"/>
      <c r="AS378" s="37"/>
      <c r="AT378" s="37"/>
      <c r="AU378" s="37"/>
      <c r="AV378" s="37"/>
      <c r="AW378" s="38"/>
      <c r="AX378" s="31">
        <f>57287.64</f>
        <v>57287.64</v>
      </c>
      <c r="AY378" s="31"/>
      <c r="AZ378" s="31"/>
      <c r="BA378" s="31"/>
      <c r="BB378" s="31"/>
      <c r="BC378" s="31"/>
      <c r="BD378" s="31"/>
      <c r="BE378" s="31"/>
      <c r="BF378" s="31"/>
      <c r="BG378" s="31"/>
      <c r="BH378" s="102">
        <f>AX378-AM378</f>
        <v>-12.360000000000582</v>
      </c>
      <c r="BI378" s="37"/>
      <c r="BJ378" s="37"/>
      <c r="BK378" s="37"/>
      <c r="BL378" s="37"/>
      <c r="BM378" s="37"/>
      <c r="BN378" s="37"/>
      <c r="BO378" s="37"/>
      <c r="BP378" s="37"/>
      <c r="BQ378" s="37"/>
      <c r="BR378" s="38"/>
    </row>
    <row r="379" spans="1:70" s="2" customFormat="1" ht="40.5" customHeight="1">
      <c r="A379" s="65"/>
      <c r="B379" s="66"/>
      <c r="C379" s="42"/>
      <c r="D379" s="42"/>
      <c r="E379" s="42"/>
      <c r="F379" s="42"/>
      <c r="G379" s="42"/>
      <c r="H379" s="42"/>
      <c r="I379" s="28" t="s">
        <v>250</v>
      </c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30"/>
      <c r="BR379" s="11"/>
    </row>
    <row r="380" spans="1:70" s="1" customFormat="1" ht="21" customHeight="1">
      <c r="A380" s="32">
        <v>2</v>
      </c>
      <c r="B380" s="32"/>
      <c r="C380" s="92"/>
      <c r="D380" s="92"/>
      <c r="E380" s="92"/>
      <c r="F380" s="92"/>
      <c r="G380" s="92"/>
      <c r="H380" s="92"/>
      <c r="I380" s="93" t="s">
        <v>40</v>
      </c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4"/>
      <c r="BR380" s="21"/>
    </row>
    <row r="381" spans="1:70" s="1" customFormat="1" ht="85.5" customHeight="1">
      <c r="A381" s="79" t="s">
        <v>46</v>
      </c>
      <c r="B381" s="80"/>
      <c r="C381" s="42"/>
      <c r="D381" s="42"/>
      <c r="E381" s="42"/>
      <c r="F381" s="42"/>
      <c r="G381" s="42"/>
      <c r="H381" s="42"/>
      <c r="I381" s="28" t="s">
        <v>8</v>
      </c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30"/>
      <c r="X381" s="43" t="s">
        <v>27</v>
      </c>
      <c r="Y381" s="43"/>
      <c r="Z381" s="43"/>
      <c r="AA381" s="106" t="s">
        <v>236</v>
      </c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8"/>
      <c r="AL381" s="87">
        <v>350</v>
      </c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>
        <v>350</v>
      </c>
      <c r="AY381" s="87"/>
      <c r="AZ381" s="87"/>
      <c r="BA381" s="87"/>
      <c r="BB381" s="87"/>
      <c r="BC381" s="87"/>
      <c r="BD381" s="87"/>
      <c r="BE381" s="87"/>
      <c r="BF381" s="87"/>
      <c r="BG381" s="87"/>
      <c r="BH381" s="96">
        <f>AX381-AL381</f>
        <v>0</v>
      </c>
      <c r="BI381" s="97"/>
      <c r="BJ381" s="97"/>
      <c r="BK381" s="97"/>
      <c r="BL381" s="97"/>
      <c r="BM381" s="97"/>
      <c r="BN381" s="97"/>
      <c r="BO381" s="97"/>
      <c r="BP381" s="97"/>
      <c r="BQ381" s="97"/>
      <c r="BR381" s="98"/>
    </row>
    <row r="382" spans="1:70" s="1" customFormat="1" ht="17.25" customHeight="1">
      <c r="A382" s="32">
        <v>3</v>
      </c>
      <c r="B382" s="32"/>
      <c r="C382" s="92"/>
      <c r="D382" s="92"/>
      <c r="E382" s="92"/>
      <c r="F382" s="92"/>
      <c r="G382" s="92"/>
      <c r="H382" s="92"/>
      <c r="I382" s="93" t="s">
        <v>41</v>
      </c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4"/>
      <c r="BR382" s="21"/>
    </row>
    <row r="383" spans="1:70" s="2" customFormat="1" ht="45" customHeight="1">
      <c r="A383" s="40" t="s">
        <v>47</v>
      </c>
      <c r="B383" s="41"/>
      <c r="C383" s="42"/>
      <c r="D383" s="42"/>
      <c r="E383" s="42"/>
      <c r="F383" s="42"/>
      <c r="G383" s="42"/>
      <c r="H383" s="42"/>
      <c r="I383" s="28" t="s">
        <v>10</v>
      </c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30"/>
      <c r="X383" s="43" t="s">
        <v>32</v>
      </c>
      <c r="Y383" s="43"/>
      <c r="Z383" s="43"/>
      <c r="AA383" s="43" t="s">
        <v>43</v>
      </c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87">
        <f>AM378/AL381-1</f>
        <v>162.71428571428572</v>
      </c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>
        <f>AX378/AX381-1</f>
        <v>162.67897142857143</v>
      </c>
      <c r="AY383" s="87"/>
      <c r="AZ383" s="87"/>
      <c r="BA383" s="87"/>
      <c r="BB383" s="87"/>
      <c r="BC383" s="87"/>
      <c r="BD383" s="87"/>
      <c r="BE383" s="87"/>
      <c r="BF383" s="87"/>
      <c r="BG383" s="87"/>
      <c r="BH383" s="96">
        <f>AX383-AL383</f>
        <v>-0.03531428571429274</v>
      </c>
      <c r="BI383" s="97"/>
      <c r="BJ383" s="97"/>
      <c r="BK383" s="97"/>
      <c r="BL383" s="97"/>
      <c r="BM383" s="97"/>
      <c r="BN383" s="97"/>
      <c r="BO383" s="97"/>
      <c r="BP383" s="97"/>
      <c r="BQ383" s="97"/>
      <c r="BR383" s="98"/>
    </row>
    <row r="384" spans="1:70" s="2" customFormat="1" ht="16.5" customHeight="1">
      <c r="A384" s="65"/>
      <c r="B384" s="66"/>
      <c r="C384" s="42"/>
      <c r="D384" s="42"/>
      <c r="E384" s="42"/>
      <c r="F384" s="42"/>
      <c r="G384" s="42"/>
      <c r="H384" s="42"/>
      <c r="I384" s="81" t="s">
        <v>253</v>
      </c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3"/>
      <c r="BR384" s="11"/>
    </row>
    <row r="385" spans="1:70" s="1" customFormat="1" ht="18" customHeight="1">
      <c r="A385" s="32">
        <v>1</v>
      </c>
      <c r="B385" s="32"/>
      <c r="C385" s="33"/>
      <c r="D385" s="34"/>
      <c r="E385" s="34"/>
      <c r="F385" s="34"/>
      <c r="G385" s="34"/>
      <c r="H385" s="35"/>
      <c r="I385" s="95" t="s">
        <v>50</v>
      </c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21"/>
    </row>
    <row r="386" spans="1:70" s="2" customFormat="1" ht="42" customHeight="1">
      <c r="A386" s="40" t="s">
        <v>44</v>
      </c>
      <c r="B386" s="41"/>
      <c r="C386" s="42"/>
      <c r="D386" s="42"/>
      <c r="E386" s="42"/>
      <c r="F386" s="42"/>
      <c r="G386" s="42"/>
      <c r="H386" s="42"/>
      <c r="I386" s="28" t="s">
        <v>254</v>
      </c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30"/>
      <c r="X386" s="43" t="s">
        <v>32</v>
      </c>
      <c r="Y386" s="43"/>
      <c r="Z386" s="43"/>
      <c r="AA386" s="39" t="s">
        <v>101</v>
      </c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7">
        <v>94500</v>
      </c>
      <c r="AN386" s="37"/>
      <c r="AO386" s="37"/>
      <c r="AP386" s="37"/>
      <c r="AQ386" s="37"/>
      <c r="AR386" s="37"/>
      <c r="AS386" s="37"/>
      <c r="AT386" s="37"/>
      <c r="AU386" s="37"/>
      <c r="AV386" s="37"/>
      <c r="AW386" s="38"/>
      <c r="AX386" s="31">
        <f>93491.32</f>
        <v>93491.32</v>
      </c>
      <c r="AY386" s="31"/>
      <c r="AZ386" s="31"/>
      <c r="BA386" s="31"/>
      <c r="BB386" s="31"/>
      <c r="BC386" s="31"/>
      <c r="BD386" s="31"/>
      <c r="BE386" s="31"/>
      <c r="BF386" s="31"/>
      <c r="BG386" s="31"/>
      <c r="BH386" s="102">
        <f>AX386-AM386</f>
        <v>-1008.679999999993</v>
      </c>
      <c r="BI386" s="37"/>
      <c r="BJ386" s="37"/>
      <c r="BK386" s="37"/>
      <c r="BL386" s="37"/>
      <c r="BM386" s="37"/>
      <c r="BN386" s="37"/>
      <c r="BO386" s="37"/>
      <c r="BP386" s="37"/>
      <c r="BQ386" s="37"/>
      <c r="BR386" s="38"/>
    </row>
    <row r="387" spans="1:70" s="2" customFormat="1" ht="28.5" customHeight="1">
      <c r="A387" s="65"/>
      <c r="B387" s="66"/>
      <c r="C387" s="42"/>
      <c r="D387" s="42"/>
      <c r="E387" s="42"/>
      <c r="F387" s="42"/>
      <c r="G387" s="42"/>
      <c r="H387" s="42"/>
      <c r="I387" s="28" t="s">
        <v>255</v>
      </c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30"/>
      <c r="BR387" s="11"/>
    </row>
    <row r="388" spans="1:70" s="1" customFormat="1" ht="21" customHeight="1">
      <c r="A388" s="32">
        <v>2</v>
      </c>
      <c r="B388" s="32"/>
      <c r="C388" s="92"/>
      <c r="D388" s="92"/>
      <c r="E388" s="92"/>
      <c r="F388" s="92"/>
      <c r="G388" s="92"/>
      <c r="H388" s="92"/>
      <c r="I388" s="93" t="s">
        <v>40</v>
      </c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4"/>
      <c r="BR388" s="21"/>
    </row>
    <row r="389" spans="1:70" s="1" customFormat="1" ht="85.5" customHeight="1">
      <c r="A389" s="79" t="s">
        <v>46</v>
      </c>
      <c r="B389" s="80"/>
      <c r="C389" s="42"/>
      <c r="D389" s="42"/>
      <c r="E389" s="42"/>
      <c r="F389" s="42"/>
      <c r="G389" s="42"/>
      <c r="H389" s="42"/>
      <c r="I389" s="28" t="s">
        <v>256</v>
      </c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30"/>
      <c r="X389" s="43" t="s">
        <v>27</v>
      </c>
      <c r="Y389" s="43"/>
      <c r="Z389" s="43"/>
      <c r="AA389" s="106" t="s">
        <v>236</v>
      </c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8"/>
      <c r="AL389" s="87">
        <v>2</v>
      </c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>
        <v>2</v>
      </c>
      <c r="AY389" s="87"/>
      <c r="AZ389" s="87"/>
      <c r="BA389" s="87"/>
      <c r="BB389" s="87"/>
      <c r="BC389" s="87"/>
      <c r="BD389" s="87"/>
      <c r="BE389" s="87"/>
      <c r="BF389" s="87"/>
      <c r="BG389" s="87"/>
      <c r="BH389" s="96">
        <f>AX389-AL389</f>
        <v>0</v>
      </c>
      <c r="BI389" s="97"/>
      <c r="BJ389" s="97"/>
      <c r="BK389" s="97"/>
      <c r="BL389" s="97"/>
      <c r="BM389" s="97"/>
      <c r="BN389" s="97"/>
      <c r="BO389" s="97"/>
      <c r="BP389" s="97"/>
      <c r="BQ389" s="97"/>
      <c r="BR389" s="98"/>
    </row>
    <row r="390" spans="1:70" s="1" customFormat="1" ht="17.25" customHeight="1">
      <c r="A390" s="32">
        <v>3</v>
      </c>
      <c r="B390" s="32"/>
      <c r="C390" s="92"/>
      <c r="D390" s="92"/>
      <c r="E390" s="92"/>
      <c r="F390" s="92"/>
      <c r="G390" s="92"/>
      <c r="H390" s="92"/>
      <c r="I390" s="93" t="s">
        <v>41</v>
      </c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4"/>
      <c r="BR390" s="21"/>
    </row>
    <row r="391" spans="1:70" s="2" customFormat="1" ht="23.25" customHeight="1">
      <c r="A391" s="40" t="s">
        <v>47</v>
      </c>
      <c r="B391" s="41"/>
      <c r="C391" s="42"/>
      <c r="D391" s="42"/>
      <c r="E391" s="42"/>
      <c r="F391" s="42"/>
      <c r="G391" s="42"/>
      <c r="H391" s="42"/>
      <c r="I391" s="28" t="s">
        <v>257</v>
      </c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30"/>
      <c r="X391" s="43" t="s">
        <v>32</v>
      </c>
      <c r="Y391" s="43"/>
      <c r="Z391" s="43"/>
      <c r="AA391" s="43" t="s">
        <v>43</v>
      </c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87">
        <f>AM386/AL389</f>
        <v>47250</v>
      </c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>
        <f>AX386/AX389</f>
        <v>46745.66</v>
      </c>
      <c r="AY391" s="87"/>
      <c r="AZ391" s="87"/>
      <c r="BA391" s="87"/>
      <c r="BB391" s="87"/>
      <c r="BC391" s="87"/>
      <c r="BD391" s="87"/>
      <c r="BE391" s="87"/>
      <c r="BF391" s="87"/>
      <c r="BG391" s="87"/>
      <c r="BH391" s="96">
        <f>AX391-AL391</f>
        <v>-504.3399999999965</v>
      </c>
      <c r="BI391" s="97"/>
      <c r="BJ391" s="97"/>
      <c r="BK391" s="97"/>
      <c r="BL391" s="97"/>
      <c r="BM391" s="97"/>
      <c r="BN391" s="97"/>
      <c r="BO391" s="97"/>
      <c r="BP391" s="97"/>
      <c r="BQ391" s="97"/>
      <c r="BR391" s="98"/>
    </row>
    <row r="392" spans="1:70" s="2" customFormat="1" ht="30.75" customHeight="1">
      <c r="A392" s="65"/>
      <c r="B392" s="66"/>
      <c r="C392" s="42"/>
      <c r="D392" s="42"/>
      <c r="E392" s="42"/>
      <c r="F392" s="42"/>
      <c r="G392" s="42"/>
      <c r="H392" s="42"/>
      <c r="I392" s="28" t="s">
        <v>258</v>
      </c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30"/>
      <c r="BR392" s="11"/>
    </row>
    <row r="393" spans="1:70" s="10" customFormat="1" ht="16.5" customHeight="1">
      <c r="A393" s="84"/>
      <c r="B393" s="85"/>
      <c r="C393" s="86"/>
      <c r="D393" s="86"/>
      <c r="E393" s="86"/>
      <c r="F393" s="86"/>
      <c r="G393" s="86"/>
      <c r="H393" s="86"/>
      <c r="I393" s="81" t="s">
        <v>259</v>
      </c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3"/>
      <c r="BR393" s="12"/>
    </row>
    <row r="394" spans="1:70" s="1" customFormat="1" ht="18" customHeight="1">
      <c r="A394" s="32">
        <v>1</v>
      </c>
      <c r="B394" s="32"/>
      <c r="C394" s="33"/>
      <c r="D394" s="34"/>
      <c r="E394" s="34"/>
      <c r="F394" s="34"/>
      <c r="G394" s="34"/>
      <c r="H394" s="35"/>
      <c r="I394" s="95" t="s">
        <v>50</v>
      </c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21"/>
    </row>
    <row r="395" spans="1:70" s="2" customFormat="1" ht="51" customHeight="1">
      <c r="A395" s="40" t="s">
        <v>44</v>
      </c>
      <c r="B395" s="41"/>
      <c r="C395" s="42"/>
      <c r="D395" s="42"/>
      <c r="E395" s="42"/>
      <c r="F395" s="42"/>
      <c r="G395" s="42"/>
      <c r="H395" s="42"/>
      <c r="I395" s="28" t="s">
        <v>260</v>
      </c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30"/>
      <c r="X395" s="43" t="s">
        <v>32</v>
      </c>
      <c r="Y395" s="43"/>
      <c r="Z395" s="43"/>
      <c r="AA395" s="39" t="s">
        <v>101</v>
      </c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7">
        <v>107500</v>
      </c>
      <c r="AN395" s="37"/>
      <c r="AO395" s="37"/>
      <c r="AP395" s="37"/>
      <c r="AQ395" s="37"/>
      <c r="AR395" s="37"/>
      <c r="AS395" s="37"/>
      <c r="AT395" s="37"/>
      <c r="AU395" s="37"/>
      <c r="AV395" s="37"/>
      <c r="AW395" s="38"/>
      <c r="AX395" s="31">
        <f>82135.43</f>
        <v>82135.43</v>
      </c>
      <c r="AY395" s="31"/>
      <c r="AZ395" s="31"/>
      <c r="BA395" s="31"/>
      <c r="BB395" s="31"/>
      <c r="BC395" s="31"/>
      <c r="BD395" s="31"/>
      <c r="BE395" s="31"/>
      <c r="BF395" s="31"/>
      <c r="BG395" s="31"/>
      <c r="BH395" s="102">
        <f>AX395-AM395</f>
        <v>-25364.570000000007</v>
      </c>
      <c r="BI395" s="37"/>
      <c r="BJ395" s="37"/>
      <c r="BK395" s="37"/>
      <c r="BL395" s="37"/>
      <c r="BM395" s="37"/>
      <c r="BN395" s="37"/>
      <c r="BO395" s="37"/>
      <c r="BP395" s="37"/>
      <c r="BQ395" s="37"/>
      <c r="BR395" s="38"/>
    </row>
    <row r="396" spans="1:70" s="2" customFormat="1" ht="29.25" customHeight="1">
      <c r="A396" s="65"/>
      <c r="B396" s="66"/>
      <c r="C396" s="42"/>
      <c r="D396" s="42"/>
      <c r="E396" s="42"/>
      <c r="F396" s="42"/>
      <c r="G396" s="42"/>
      <c r="H396" s="42"/>
      <c r="I396" s="28" t="s">
        <v>262</v>
      </c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30"/>
      <c r="BR396" s="11"/>
    </row>
    <row r="397" spans="1:70" s="1" customFormat="1" ht="21" customHeight="1">
      <c r="A397" s="32">
        <v>2</v>
      </c>
      <c r="B397" s="32"/>
      <c r="C397" s="92"/>
      <c r="D397" s="92"/>
      <c r="E397" s="92"/>
      <c r="F397" s="92"/>
      <c r="G397" s="92"/>
      <c r="H397" s="92"/>
      <c r="I397" s="93" t="s">
        <v>40</v>
      </c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4"/>
      <c r="BR397" s="21"/>
    </row>
    <row r="398" spans="1:70" s="1" customFormat="1" ht="85.5" customHeight="1">
      <c r="A398" s="79" t="s">
        <v>46</v>
      </c>
      <c r="B398" s="80"/>
      <c r="C398" s="42"/>
      <c r="D398" s="42"/>
      <c r="E398" s="42"/>
      <c r="F398" s="42"/>
      <c r="G398" s="42"/>
      <c r="H398" s="42"/>
      <c r="I398" s="28" t="s">
        <v>261</v>
      </c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30"/>
      <c r="X398" s="43" t="s">
        <v>27</v>
      </c>
      <c r="Y398" s="43"/>
      <c r="Z398" s="43"/>
      <c r="AA398" s="106" t="s">
        <v>236</v>
      </c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8"/>
      <c r="AL398" s="87">
        <v>5</v>
      </c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>
        <v>4</v>
      </c>
      <c r="AY398" s="87"/>
      <c r="AZ398" s="87"/>
      <c r="BA398" s="87"/>
      <c r="BB398" s="87"/>
      <c r="BC398" s="87"/>
      <c r="BD398" s="87"/>
      <c r="BE398" s="87"/>
      <c r="BF398" s="87"/>
      <c r="BG398" s="87"/>
      <c r="BH398" s="96">
        <f>AX398-AL398</f>
        <v>-1</v>
      </c>
      <c r="BI398" s="97"/>
      <c r="BJ398" s="97"/>
      <c r="BK398" s="97"/>
      <c r="BL398" s="97"/>
      <c r="BM398" s="97"/>
      <c r="BN398" s="97"/>
      <c r="BO398" s="97"/>
      <c r="BP398" s="97"/>
      <c r="BQ398" s="97"/>
      <c r="BR398" s="98"/>
    </row>
    <row r="399" spans="1:70" s="2" customFormat="1" ht="27" customHeight="1" hidden="1">
      <c r="A399" s="65"/>
      <c r="B399" s="66"/>
      <c r="C399" s="42"/>
      <c r="D399" s="42"/>
      <c r="E399" s="42"/>
      <c r="F399" s="42"/>
      <c r="G399" s="42"/>
      <c r="H399" s="42"/>
      <c r="I399" s="28" t="s">
        <v>263</v>
      </c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30"/>
      <c r="BR399" s="11"/>
    </row>
    <row r="400" spans="1:70" s="1" customFormat="1" ht="17.25" customHeight="1">
      <c r="A400" s="32">
        <v>3</v>
      </c>
      <c r="B400" s="32"/>
      <c r="C400" s="92"/>
      <c r="D400" s="92"/>
      <c r="E400" s="92"/>
      <c r="F400" s="92"/>
      <c r="G400" s="92"/>
      <c r="H400" s="92"/>
      <c r="I400" s="93" t="s">
        <v>41</v>
      </c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4"/>
      <c r="BR400" s="21"/>
    </row>
    <row r="401" spans="1:70" s="2" customFormat="1" ht="23.25" customHeight="1">
      <c r="A401" s="40" t="s">
        <v>47</v>
      </c>
      <c r="B401" s="41"/>
      <c r="C401" s="42"/>
      <c r="D401" s="42"/>
      <c r="E401" s="42"/>
      <c r="F401" s="42"/>
      <c r="G401" s="42"/>
      <c r="H401" s="42"/>
      <c r="I401" s="28" t="s">
        <v>257</v>
      </c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30"/>
      <c r="X401" s="43" t="s">
        <v>32</v>
      </c>
      <c r="Y401" s="43"/>
      <c r="Z401" s="43"/>
      <c r="AA401" s="43" t="s">
        <v>43</v>
      </c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87">
        <f>AM395/AL398</f>
        <v>21500</v>
      </c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>
        <f>AX395/AX398</f>
        <v>20533.8575</v>
      </c>
      <c r="AY401" s="87"/>
      <c r="AZ401" s="87"/>
      <c r="BA401" s="87"/>
      <c r="BB401" s="87"/>
      <c r="BC401" s="87"/>
      <c r="BD401" s="87"/>
      <c r="BE401" s="87"/>
      <c r="BF401" s="87"/>
      <c r="BG401" s="87"/>
      <c r="BH401" s="96">
        <f>AX401-AL401</f>
        <v>-966.1425000000017</v>
      </c>
      <c r="BI401" s="97"/>
      <c r="BJ401" s="97"/>
      <c r="BK401" s="97"/>
      <c r="BL401" s="97"/>
      <c r="BM401" s="97"/>
      <c r="BN401" s="97"/>
      <c r="BO401" s="97"/>
      <c r="BP401" s="97"/>
      <c r="BQ401" s="97"/>
      <c r="BR401" s="98"/>
    </row>
    <row r="402" spans="1:70" s="2" customFormat="1" ht="22.5" customHeight="1">
      <c r="A402" s="65"/>
      <c r="B402" s="66"/>
      <c r="C402" s="42"/>
      <c r="D402" s="42"/>
      <c r="E402" s="42"/>
      <c r="F402" s="42"/>
      <c r="G402" s="42"/>
      <c r="H402" s="42"/>
      <c r="I402" s="28" t="s">
        <v>264</v>
      </c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30"/>
      <c r="BR402" s="11"/>
    </row>
    <row r="403" spans="1:70" s="10" customFormat="1" ht="16.5" customHeight="1">
      <c r="A403" s="84"/>
      <c r="B403" s="85"/>
      <c r="C403" s="86"/>
      <c r="D403" s="86"/>
      <c r="E403" s="86"/>
      <c r="F403" s="86"/>
      <c r="G403" s="86"/>
      <c r="H403" s="86"/>
      <c r="I403" s="81" t="s">
        <v>265</v>
      </c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3"/>
      <c r="BR403" s="12"/>
    </row>
    <row r="404" spans="1:70" s="1" customFormat="1" ht="18" customHeight="1">
      <c r="A404" s="32">
        <v>1</v>
      </c>
      <c r="B404" s="32"/>
      <c r="C404" s="33"/>
      <c r="D404" s="34"/>
      <c r="E404" s="34"/>
      <c r="F404" s="34"/>
      <c r="G404" s="34"/>
      <c r="H404" s="35"/>
      <c r="I404" s="95" t="s">
        <v>50</v>
      </c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21"/>
    </row>
    <row r="405" spans="1:70" s="2" customFormat="1" ht="51" customHeight="1">
      <c r="A405" s="40" t="s">
        <v>44</v>
      </c>
      <c r="B405" s="41"/>
      <c r="C405" s="42"/>
      <c r="D405" s="42"/>
      <c r="E405" s="42"/>
      <c r="F405" s="42"/>
      <c r="G405" s="42"/>
      <c r="H405" s="42"/>
      <c r="I405" s="28" t="s">
        <v>266</v>
      </c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30"/>
      <c r="X405" s="43" t="s">
        <v>32</v>
      </c>
      <c r="Y405" s="43"/>
      <c r="Z405" s="43"/>
      <c r="AA405" s="39" t="s">
        <v>101</v>
      </c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7">
        <v>50400</v>
      </c>
      <c r="AN405" s="37"/>
      <c r="AO405" s="37"/>
      <c r="AP405" s="37"/>
      <c r="AQ405" s="37"/>
      <c r="AR405" s="37"/>
      <c r="AS405" s="37"/>
      <c r="AT405" s="37"/>
      <c r="AU405" s="37"/>
      <c r="AV405" s="37"/>
      <c r="AW405" s="38"/>
      <c r="AX405" s="31">
        <v>0</v>
      </c>
      <c r="AY405" s="31"/>
      <c r="AZ405" s="31"/>
      <c r="BA405" s="31"/>
      <c r="BB405" s="31"/>
      <c r="BC405" s="31"/>
      <c r="BD405" s="31"/>
      <c r="BE405" s="31"/>
      <c r="BF405" s="31"/>
      <c r="BG405" s="31"/>
      <c r="BH405" s="102">
        <f>AX405-AM405</f>
        <v>-50400</v>
      </c>
      <c r="BI405" s="37"/>
      <c r="BJ405" s="37"/>
      <c r="BK405" s="37"/>
      <c r="BL405" s="37"/>
      <c r="BM405" s="37"/>
      <c r="BN405" s="37"/>
      <c r="BO405" s="37"/>
      <c r="BP405" s="37"/>
      <c r="BQ405" s="37"/>
      <c r="BR405" s="38"/>
    </row>
    <row r="406" spans="1:70" s="2" customFormat="1" ht="30.75" customHeight="1">
      <c r="A406" s="65"/>
      <c r="B406" s="66"/>
      <c r="C406" s="42"/>
      <c r="D406" s="42"/>
      <c r="E406" s="42"/>
      <c r="F406" s="42"/>
      <c r="G406" s="42"/>
      <c r="H406" s="42"/>
      <c r="I406" s="28" t="s">
        <v>268</v>
      </c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30"/>
      <c r="BR406" s="11"/>
    </row>
    <row r="407" spans="1:70" s="1" customFormat="1" ht="12" customHeight="1">
      <c r="A407" s="32">
        <v>2</v>
      </c>
      <c r="B407" s="32"/>
      <c r="C407" s="92"/>
      <c r="D407" s="92"/>
      <c r="E407" s="92"/>
      <c r="F407" s="92"/>
      <c r="G407" s="92"/>
      <c r="H407" s="92"/>
      <c r="I407" s="93" t="s">
        <v>40</v>
      </c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4"/>
      <c r="BR407" s="21"/>
    </row>
    <row r="408" spans="1:70" s="1" customFormat="1" ht="85.5" customHeight="1">
      <c r="A408" s="79" t="s">
        <v>46</v>
      </c>
      <c r="B408" s="80"/>
      <c r="C408" s="42"/>
      <c r="D408" s="42"/>
      <c r="E408" s="42"/>
      <c r="F408" s="42"/>
      <c r="G408" s="42"/>
      <c r="H408" s="42"/>
      <c r="I408" s="28" t="s">
        <v>267</v>
      </c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30"/>
      <c r="X408" s="43" t="s">
        <v>27</v>
      </c>
      <c r="Y408" s="43"/>
      <c r="Z408" s="43"/>
      <c r="AA408" s="106" t="s">
        <v>236</v>
      </c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8"/>
      <c r="AL408" s="87">
        <v>20</v>
      </c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>
        <v>0</v>
      </c>
      <c r="AY408" s="87"/>
      <c r="AZ408" s="87"/>
      <c r="BA408" s="87"/>
      <c r="BB408" s="87"/>
      <c r="BC408" s="87"/>
      <c r="BD408" s="87"/>
      <c r="BE408" s="87"/>
      <c r="BF408" s="87"/>
      <c r="BG408" s="87"/>
      <c r="BH408" s="96">
        <f>AX408-AL408</f>
        <v>-20</v>
      </c>
      <c r="BI408" s="97"/>
      <c r="BJ408" s="97"/>
      <c r="BK408" s="97"/>
      <c r="BL408" s="97"/>
      <c r="BM408" s="97"/>
      <c r="BN408" s="97"/>
      <c r="BO408" s="97"/>
      <c r="BP408" s="97"/>
      <c r="BQ408" s="97"/>
      <c r="BR408" s="98"/>
    </row>
    <row r="409" spans="1:70" s="2" customFormat="1" ht="33" customHeight="1">
      <c r="A409" s="65"/>
      <c r="B409" s="66"/>
      <c r="C409" s="42"/>
      <c r="D409" s="42"/>
      <c r="E409" s="42"/>
      <c r="F409" s="42"/>
      <c r="G409" s="42"/>
      <c r="H409" s="42"/>
      <c r="I409" s="28" t="s">
        <v>269</v>
      </c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30"/>
      <c r="BR409" s="11"/>
    </row>
    <row r="410" spans="1:70" s="1" customFormat="1" ht="17.25" customHeight="1">
      <c r="A410" s="32">
        <v>3</v>
      </c>
      <c r="B410" s="32"/>
      <c r="C410" s="92"/>
      <c r="D410" s="92"/>
      <c r="E410" s="92"/>
      <c r="F410" s="92"/>
      <c r="G410" s="92"/>
      <c r="H410" s="92"/>
      <c r="I410" s="93" t="s">
        <v>41</v>
      </c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4"/>
      <c r="BR410" s="21"/>
    </row>
    <row r="411" spans="1:70" s="2" customFormat="1" ht="63.75" customHeight="1">
      <c r="A411" s="40" t="s">
        <v>47</v>
      </c>
      <c r="B411" s="41"/>
      <c r="C411" s="42"/>
      <c r="D411" s="42"/>
      <c r="E411" s="42"/>
      <c r="F411" s="42"/>
      <c r="G411" s="42"/>
      <c r="H411" s="42"/>
      <c r="I411" s="28" t="s">
        <v>270</v>
      </c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30"/>
      <c r="X411" s="43" t="s">
        <v>32</v>
      </c>
      <c r="Y411" s="43"/>
      <c r="Z411" s="43"/>
      <c r="AA411" s="43" t="s">
        <v>43</v>
      </c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87">
        <f>AM405/AL408</f>
        <v>2520</v>
      </c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 t="e">
        <f>AX405/AX408</f>
        <v>#DIV/0!</v>
      </c>
      <c r="AY411" s="87"/>
      <c r="AZ411" s="87"/>
      <c r="BA411" s="87"/>
      <c r="BB411" s="87"/>
      <c r="BC411" s="87"/>
      <c r="BD411" s="87"/>
      <c r="BE411" s="87"/>
      <c r="BF411" s="87"/>
      <c r="BG411" s="87"/>
      <c r="BH411" s="96" t="e">
        <f>AX411-AL411</f>
        <v>#DIV/0!</v>
      </c>
      <c r="BI411" s="97"/>
      <c r="BJ411" s="97"/>
      <c r="BK411" s="97"/>
      <c r="BL411" s="97"/>
      <c r="BM411" s="97"/>
      <c r="BN411" s="97"/>
      <c r="BO411" s="97"/>
      <c r="BP411" s="97"/>
      <c r="BQ411" s="97"/>
      <c r="BR411" s="98"/>
    </row>
    <row r="412" spans="1:70" s="2" customFormat="1" ht="24.75" customHeight="1">
      <c r="A412" s="65"/>
      <c r="B412" s="66"/>
      <c r="C412" s="42"/>
      <c r="D412" s="42"/>
      <c r="E412" s="42"/>
      <c r="F412" s="42"/>
      <c r="G412" s="42"/>
      <c r="H412" s="42"/>
      <c r="I412" s="28" t="s">
        <v>271</v>
      </c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30"/>
      <c r="BR412" s="11"/>
    </row>
    <row r="413" spans="1:70" s="10" customFormat="1" ht="16.5" customHeight="1">
      <c r="A413" s="84"/>
      <c r="B413" s="85"/>
      <c r="C413" s="86"/>
      <c r="D413" s="86"/>
      <c r="E413" s="86"/>
      <c r="F413" s="86"/>
      <c r="G413" s="86"/>
      <c r="H413" s="86"/>
      <c r="I413" s="81" t="s">
        <v>272</v>
      </c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3"/>
      <c r="BR413" s="12"/>
    </row>
    <row r="414" spans="1:70" s="1" customFormat="1" ht="18" customHeight="1">
      <c r="A414" s="32">
        <v>1</v>
      </c>
      <c r="B414" s="32"/>
      <c r="C414" s="33"/>
      <c r="D414" s="34"/>
      <c r="E414" s="34"/>
      <c r="F414" s="34"/>
      <c r="G414" s="34"/>
      <c r="H414" s="35"/>
      <c r="I414" s="95" t="s">
        <v>50</v>
      </c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21"/>
    </row>
    <row r="415" spans="1:70" s="2" customFormat="1" ht="39.75" customHeight="1">
      <c r="A415" s="40" t="s">
        <v>44</v>
      </c>
      <c r="B415" s="41"/>
      <c r="C415" s="42"/>
      <c r="D415" s="42"/>
      <c r="E415" s="42"/>
      <c r="F415" s="42"/>
      <c r="G415" s="42"/>
      <c r="H415" s="42"/>
      <c r="I415" s="28" t="s">
        <v>273</v>
      </c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30"/>
      <c r="X415" s="43" t="s">
        <v>32</v>
      </c>
      <c r="Y415" s="43"/>
      <c r="Z415" s="43"/>
      <c r="AA415" s="39" t="s">
        <v>101</v>
      </c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7">
        <f>8600+34660+3540</f>
        <v>46800</v>
      </c>
      <c r="AN415" s="37"/>
      <c r="AO415" s="37"/>
      <c r="AP415" s="37"/>
      <c r="AQ415" s="37"/>
      <c r="AR415" s="37"/>
      <c r="AS415" s="37"/>
      <c r="AT415" s="37"/>
      <c r="AU415" s="37"/>
      <c r="AV415" s="37"/>
      <c r="AW415" s="38"/>
      <c r="AX415" s="31">
        <f>7999+34590</f>
        <v>42589</v>
      </c>
      <c r="AY415" s="31"/>
      <c r="AZ415" s="31"/>
      <c r="BA415" s="31"/>
      <c r="BB415" s="31"/>
      <c r="BC415" s="31"/>
      <c r="BD415" s="31"/>
      <c r="BE415" s="31"/>
      <c r="BF415" s="31"/>
      <c r="BG415" s="31"/>
      <c r="BH415" s="102">
        <f>AX415-AM415</f>
        <v>-4211</v>
      </c>
      <c r="BI415" s="37"/>
      <c r="BJ415" s="37"/>
      <c r="BK415" s="37"/>
      <c r="BL415" s="37"/>
      <c r="BM415" s="37"/>
      <c r="BN415" s="37"/>
      <c r="BO415" s="37"/>
      <c r="BP415" s="37"/>
      <c r="BQ415" s="37"/>
      <c r="BR415" s="38"/>
    </row>
    <row r="416" spans="1:70" s="2" customFormat="1" ht="35.25" customHeight="1">
      <c r="A416" s="65"/>
      <c r="B416" s="66"/>
      <c r="C416" s="42"/>
      <c r="D416" s="42"/>
      <c r="E416" s="42"/>
      <c r="F416" s="42"/>
      <c r="G416" s="42"/>
      <c r="H416" s="42"/>
      <c r="I416" s="28" t="s">
        <v>274</v>
      </c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30"/>
      <c r="BR416" s="11"/>
    </row>
    <row r="417" spans="1:70" s="1" customFormat="1" ht="12" customHeight="1">
      <c r="A417" s="32">
        <v>2</v>
      </c>
      <c r="B417" s="32"/>
      <c r="C417" s="92"/>
      <c r="D417" s="92"/>
      <c r="E417" s="92"/>
      <c r="F417" s="92"/>
      <c r="G417" s="92"/>
      <c r="H417" s="92"/>
      <c r="I417" s="93" t="s">
        <v>40</v>
      </c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4"/>
      <c r="BR417" s="21"/>
    </row>
    <row r="418" spans="1:70" s="1" customFormat="1" ht="85.5" customHeight="1">
      <c r="A418" s="79" t="s">
        <v>46</v>
      </c>
      <c r="B418" s="80"/>
      <c r="C418" s="42"/>
      <c r="D418" s="42"/>
      <c r="E418" s="42"/>
      <c r="F418" s="42"/>
      <c r="G418" s="42"/>
      <c r="H418" s="42"/>
      <c r="I418" s="28" t="s">
        <v>275</v>
      </c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30"/>
      <c r="X418" s="43" t="s">
        <v>27</v>
      </c>
      <c r="Y418" s="43"/>
      <c r="Z418" s="43"/>
      <c r="AA418" s="106" t="s">
        <v>236</v>
      </c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8"/>
      <c r="AL418" s="87">
        <v>2</v>
      </c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>
        <v>2</v>
      </c>
      <c r="AY418" s="87"/>
      <c r="AZ418" s="87"/>
      <c r="BA418" s="87"/>
      <c r="BB418" s="87"/>
      <c r="BC418" s="87"/>
      <c r="BD418" s="87"/>
      <c r="BE418" s="87"/>
      <c r="BF418" s="87"/>
      <c r="BG418" s="87"/>
      <c r="BH418" s="96">
        <f>AX418-AL418</f>
        <v>0</v>
      </c>
      <c r="BI418" s="97"/>
      <c r="BJ418" s="97"/>
      <c r="BK418" s="97"/>
      <c r="BL418" s="97"/>
      <c r="BM418" s="97"/>
      <c r="BN418" s="97"/>
      <c r="BO418" s="97"/>
      <c r="BP418" s="97"/>
      <c r="BQ418" s="97"/>
      <c r="BR418" s="98"/>
    </row>
    <row r="419" spans="1:70" s="1" customFormat="1" ht="17.25" customHeight="1">
      <c r="A419" s="32">
        <v>3</v>
      </c>
      <c r="B419" s="32"/>
      <c r="C419" s="92"/>
      <c r="D419" s="92"/>
      <c r="E419" s="92"/>
      <c r="F419" s="92"/>
      <c r="G419" s="92"/>
      <c r="H419" s="92"/>
      <c r="I419" s="93" t="s">
        <v>41</v>
      </c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4"/>
      <c r="BR419" s="21"/>
    </row>
    <row r="420" spans="1:70" s="2" customFormat="1" ht="63.75" customHeight="1">
      <c r="A420" s="40" t="s">
        <v>47</v>
      </c>
      <c r="B420" s="41"/>
      <c r="C420" s="42"/>
      <c r="D420" s="42"/>
      <c r="E420" s="42"/>
      <c r="F420" s="42"/>
      <c r="G420" s="42"/>
      <c r="H420" s="42"/>
      <c r="I420" s="28" t="s">
        <v>270</v>
      </c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30"/>
      <c r="X420" s="43" t="s">
        <v>32</v>
      </c>
      <c r="Y420" s="43"/>
      <c r="Z420" s="43"/>
      <c r="AA420" s="43" t="s">
        <v>43</v>
      </c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87">
        <f>AM415/AL418</f>
        <v>23400</v>
      </c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>
        <f>AX415/AX418</f>
        <v>21294.5</v>
      </c>
      <c r="AY420" s="87"/>
      <c r="AZ420" s="87"/>
      <c r="BA420" s="87"/>
      <c r="BB420" s="87"/>
      <c r="BC420" s="87"/>
      <c r="BD420" s="87"/>
      <c r="BE420" s="87"/>
      <c r="BF420" s="87"/>
      <c r="BG420" s="87"/>
      <c r="BH420" s="96">
        <f>AX420-AL420</f>
        <v>-2105.5</v>
      </c>
      <c r="BI420" s="97"/>
      <c r="BJ420" s="97"/>
      <c r="BK420" s="97"/>
      <c r="BL420" s="97"/>
      <c r="BM420" s="97"/>
      <c r="BN420" s="97"/>
      <c r="BO420" s="97"/>
      <c r="BP420" s="97"/>
      <c r="BQ420" s="97"/>
      <c r="BR420" s="98"/>
    </row>
    <row r="421" spans="1:70" s="2" customFormat="1" ht="33" customHeight="1">
      <c r="A421" s="65"/>
      <c r="B421" s="66"/>
      <c r="C421" s="42"/>
      <c r="D421" s="42"/>
      <c r="E421" s="42"/>
      <c r="F421" s="42"/>
      <c r="G421" s="42"/>
      <c r="H421" s="42"/>
      <c r="I421" s="28" t="s">
        <v>276</v>
      </c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30"/>
      <c r="BR421" s="11"/>
    </row>
    <row r="422" spans="1:70" s="10" customFormat="1" ht="36.75" customHeight="1">
      <c r="A422" s="84"/>
      <c r="B422" s="85"/>
      <c r="C422" s="86"/>
      <c r="D422" s="86"/>
      <c r="E422" s="86"/>
      <c r="F422" s="86"/>
      <c r="G422" s="86"/>
      <c r="H422" s="86"/>
      <c r="I422" s="81" t="s">
        <v>277</v>
      </c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3"/>
      <c r="BR422" s="12"/>
    </row>
    <row r="423" spans="1:70" s="1" customFormat="1" ht="18" customHeight="1">
      <c r="A423" s="32">
        <v>1</v>
      </c>
      <c r="B423" s="32"/>
      <c r="C423" s="33"/>
      <c r="D423" s="34"/>
      <c r="E423" s="34"/>
      <c r="F423" s="34"/>
      <c r="G423" s="34"/>
      <c r="H423" s="35"/>
      <c r="I423" s="95" t="s">
        <v>50</v>
      </c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21"/>
    </row>
    <row r="424" spans="1:70" s="2" customFormat="1" ht="51" customHeight="1">
      <c r="A424" s="40" t="s">
        <v>44</v>
      </c>
      <c r="B424" s="41"/>
      <c r="C424" s="42"/>
      <c r="D424" s="42"/>
      <c r="E424" s="42"/>
      <c r="F424" s="42"/>
      <c r="G424" s="42"/>
      <c r="H424" s="42"/>
      <c r="I424" s="28" t="s">
        <v>278</v>
      </c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30"/>
      <c r="X424" s="43" t="s">
        <v>32</v>
      </c>
      <c r="Y424" s="43"/>
      <c r="Z424" s="43"/>
      <c r="AA424" s="39" t="s">
        <v>101</v>
      </c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7">
        <f>38400+3100</f>
        <v>41500</v>
      </c>
      <c r="AN424" s="37"/>
      <c r="AO424" s="37"/>
      <c r="AP424" s="37"/>
      <c r="AQ424" s="37"/>
      <c r="AR424" s="37"/>
      <c r="AS424" s="37"/>
      <c r="AT424" s="37"/>
      <c r="AU424" s="37"/>
      <c r="AV424" s="37"/>
      <c r="AW424" s="38"/>
      <c r="AX424" s="31">
        <f>3100+28612.62</f>
        <v>31712.62</v>
      </c>
      <c r="AY424" s="31"/>
      <c r="AZ424" s="31"/>
      <c r="BA424" s="31"/>
      <c r="BB424" s="31"/>
      <c r="BC424" s="31"/>
      <c r="BD424" s="31"/>
      <c r="BE424" s="31"/>
      <c r="BF424" s="31"/>
      <c r="BG424" s="31"/>
      <c r="BH424" s="102">
        <f>AX424-AM424</f>
        <v>-9787.380000000001</v>
      </c>
      <c r="BI424" s="37"/>
      <c r="BJ424" s="37"/>
      <c r="BK424" s="37"/>
      <c r="BL424" s="37"/>
      <c r="BM424" s="37"/>
      <c r="BN424" s="37"/>
      <c r="BO424" s="37"/>
      <c r="BP424" s="37"/>
      <c r="BQ424" s="37"/>
      <c r="BR424" s="38"/>
    </row>
    <row r="425" spans="1:70" s="2" customFormat="1" ht="27" customHeight="1">
      <c r="A425" s="65"/>
      <c r="B425" s="66"/>
      <c r="C425" s="42"/>
      <c r="D425" s="42"/>
      <c r="E425" s="42"/>
      <c r="F425" s="42"/>
      <c r="G425" s="42"/>
      <c r="H425" s="42"/>
      <c r="I425" s="28" t="s">
        <v>279</v>
      </c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30"/>
      <c r="BR425" s="11"/>
    </row>
    <row r="426" spans="1:70" s="1" customFormat="1" ht="12" customHeight="1">
      <c r="A426" s="32">
        <v>2</v>
      </c>
      <c r="B426" s="32"/>
      <c r="C426" s="92"/>
      <c r="D426" s="92"/>
      <c r="E426" s="92"/>
      <c r="F426" s="92"/>
      <c r="G426" s="92"/>
      <c r="H426" s="92"/>
      <c r="I426" s="93" t="s">
        <v>40</v>
      </c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  <c r="BE426" s="93"/>
      <c r="BF426" s="93"/>
      <c r="BG426" s="93"/>
      <c r="BH426" s="93"/>
      <c r="BI426" s="93"/>
      <c r="BJ426" s="93"/>
      <c r="BK426" s="93"/>
      <c r="BL426" s="93"/>
      <c r="BM426" s="93"/>
      <c r="BN426" s="93"/>
      <c r="BO426" s="93"/>
      <c r="BP426" s="93"/>
      <c r="BQ426" s="94"/>
      <c r="BR426" s="21"/>
    </row>
    <row r="427" spans="1:70" s="1" customFormat="1" ht="85.5" customHeight="1">
      <c r="A427" s="79" t="s">
        <v>46</v>
      </c>
      <c r="B427" s="80"/>
      <c r="C427" s="42"/>
      <c r="D427" s="42"/>
      <c r="E427" s="42"/>
      <c r="F427" s="42"/>
      <c r="G427" s="42"/>
      <c r="H427" s="42"/>
      <c r="I427" s="28" t="s">
        <v>280</v>
      </c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30"/>
      <c r="X427" s="43" t="s">
        <v>27</v>
      </c>
      <c r="Y427" s="43"/>
      <c r="Z427" s="43"/>
      <c r="AA427" s="106" t="s">
        <v>236</v>
      </c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8"/>
      <c r="AL427" s="87">
        <v>20</v>
      </c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>
        <v>12</v>
      </c>
      <c r="AY427" s="87"/>
      <c r="AZ427" s="87"/>
      <c r="BA427" s="87"/>
      <c r="BB427" s="87"/>
      <c r="BC427" s="87"/>
      <c r="BD427" s="87"/>
      <c r="BE427" s="87"/>
      <c r="BF427" s="87"/>
      <c r="BG427" s="87"/>
      <c r="BH427" s="96">
        <f>AX427-AL427</f>
        <v>-8</v>
      </c>
      <c r="BI427" s="97"/>
      <c r="BJ427" s="97"/>
      <c r="BK427" s="97"/>
      <c r="BL427" s="97"/>
      <c r="BM427" s="97"/>
      <c r="BN427" s="97"/>
      <c r="BO427" s="97"/>
      <c r="BP427" s="97"/>
      <c r="BQ427" s="97"/>
      <c r="BR427" s="98"/>
    </row>
    <row r="428" spans="1:70" s="2" customFormat="1" ht="30" customHeight="1">
      <c r="A428" s="65"/>
      <c r="B428" s="66"/>
      <c r="C428" s="42"/>
      <c r="D428" s="42"/>
      <c r="E428" s="42"/>
      <c r="F428" s="42"/>
      <c r="G428" s="42"/>
      <c r="H428" s="42"/>
      <c r="I428" s="28" t="s">
        <v>282</v>
      </c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30"/>
      <c r="BR428" s="11"/>
    </row>
    <row r="429" spans="1:70" s="1" customFormat="1" ht="17.25" customHeight="1">
      <c r="A429" s="32">
        <v>3</v>
      </c>
      <c r="B429" s="32"/>
      <c r="C429" s="92"/>
      <c r="D429" s="92"/>
      <c r="E429" s="92"/>
      <c r="F429" s="92"/>
      <c r="G429" s="92"/>
      <c r="H429" s="92"/>
      <c r="I429" s="93" t="s">
        <v>41</v>
      </c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3"/>
      <c r="BG429" s="93"/>
      <c r="BH429" s="93"/>
      <c r="BI429" s="93"/>
      <c r="BJ429" s="93"/>
      <c r="BK429" s="93"/>
      <c r="BL429" s="93"/>
      <c r="BM429" s="93"/>
      <c r="BN429" s="93"/>
      <c r="BO429" s="93"/>
      <c r="BP429" s="93"/>
      <c r="BQ429" s="94"/>
      <c r="BR429" s="21"/>
    </row>
    <row r="430" spans="1:70" s="2" customFormat="1" ht="63.75" customHeight="1">
      <c r="A430" s="40" t="s">
        <v>47</v>
      </c>
      <c r="B430" s="41"/>
      <c r="C430" s="42"/>
      <c r="D430" s="42"/>
      <c r="E430" s="42"/>
      <c r="F430" s="42"/>
      <c r="G430" s="42"/>
      <c r="H430" s="42"/>
      <c r="I430" s="28" t="s">
        <v>281</v>
      </c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30"/>
      <c r="X430" s="43" t="s">
        <v>32</v>
      </c>
      <c r="Y430" s="43"/>
      <c r="Z430" s="43"/>
      <c r="AA430" s="43" t="s">
        <v>43</v>
      </c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87">
        <f>AM424/AL427</f>
        <v>2075</v>
      </c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>
        <f>AX424/AX427</f>
        <v>2642.7183333333332</v>
      </c>
      <c r="AY430" s="87"/>
      <c r="AZ430" s="87"/>
      <c r="BA430" s="87"/>
      <c r="BB430" s="87"/>
      <c r="BC430" s="87"/>
      <c r="BD430" s="87"/>
      <c r="BE430" s="87"/>
      <c r="BF430" s="87"/>
      <c r="BG430" s="87"/>
      <c r="BH430" s="96">
        <f>AX430-AL430</f>
        <v>567.7183333333332</v>
      </c>
      <c r="BI430" s="97"/>
      <c r="BJ430" s="97"/>
      <c r="BK430" s="97"/>
      <c r="BL430" s="97"/>
      <c r="BM430" s="97"/>
      <c r="BN430" s="97"/>
      <c r="BO430" s="97"/>
      <c r="BP430" s="97"/>
      <c r="BQ430" s="97"/>
      <c r="BR430" s="98"/>
    </row>
    <row r="431" spans="1:70" s="2" customFormat="1" ht="27.75" customHeight="1">
      <c r="A431" s="65"/>
      <c r="B431" s="66"/>
      <c r="C431" s="42"/>
      <c r="D431" s="42"/>
      <c r="E431" s="42"/>
      <c r="F431" s="42"/>
      <c r="G431" s="42"/>
      <c r="H431" s="42"/>
      <c r="I431" s="28" t="s">
        <v>283</v>
      </c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30"/>
      <c r="BR431" s="11"/>
    </row>
    <row r="432" spans="1:70" s="10" customFormat="1" ht="24.75" customHeight="1">
      <c r="A432" s="84"/>
      <c r="B432" s="85"/>
      <c r="C432" s="86"/>
      <c r="D432" s="86"/>
      <c r="E432" s="86"/>
      <c r="F432" s="86"/>
      <c r="G432" s="86"/>
      <c r="H432" s="86"/>
      <c r="I432" s="81" t="s">
        <v>284</v>
      </c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3"/>
      <c r="BR432" s="12"/>
    </row>
    <row r="433" spans="1:70" s="1" customFormat="1" ht="18" customHeight="1">
      <c r="A433" s="32">
        <v>1</v>
      </c>
      <c r="B433" s="32"/>
      <c r="C433" s="33"/>
      <c r="D433" s="34"/>
      <c r="E433" s="34"/>
      <c r="F433" s="34"/>
      <c r="G433" s="34"/>
      <c r="H433" s="35"/>
      <c r="I433" s="95" t="s">
        <v>50</v>
      </c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21"/>
    </row>
    <row r="434" spans="1:70" s="2" customFormat="1" ht="51" customHeight="1">
      <c r="A434" s="40" t="s">
        <v>44</v>
      </c>
      <c r="B434" s="41"/>
      <c r="C434" s="42"/>
      <c r="D434" s="42"/>
      <c r="E434" s="42"/>
      <c r="F434" s="42"/>
      <c r="G434" s="42"/>
      <c r="H434" s="42"/>
      <c r="I434" s="28" t="s">
        <v>285</v>
      </c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30"/>
      <c r="X434" s="43" t="s">
        <v>32</v>
      </c>
      <c r="Y434" s="43"/>
      <c r="Z434" s="43"/>
      <c r="AA434" s="39" t="s">
        <v>101</v>
      </c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7">
        <f>2200+88830+26000</f>
        <v>117030</v>
      </c>
      <c r="AN434" s="37"/>
      <c r="AO434" s="37"/>
      <c r="AP434" s="37"/>
      <c r="AQ434" s="37"/>
      <c r="AR434" s="37"/>
      <c r="AS434" s="37"/>
      <c r="AT434" s="37"/>
      <c r="AU434" s="37"/>
      <c r="AV434" s="37"/>
      <c r="AW434" s="38"/>
      <c r="AX434" s="31">
        <f>68270.32+26000</f>
        <v>94270.32</v>
      </c>
      <c r="AY434" s="31"/>
      <c r="AZ434" s="31"/>
      <c r="BA434" s="31"/>
      <c r="BB434" s="31"/>
      <c r="BC434" s="31"/>
      <c r="BD434" s="31"/>
      <c r="BE434" s="31"/>
      <c r="BF434" s="31"/>
      <c r="BG434" s="31"/>
      <c r="BH434" s="102">
        <f>AX434-AM434</f>
        <v>-22759.679999999993</v>
      </c>
      <c r="BI434" s="37"/>
      <c r="BJ434" s="37"/>
      <c r="BK434" s="37"/>
      <c r="BL434" s="37"/>
      <c r="BM434" s="37"/>
      <c r="BN434" s="37"/>
      <c r="BO434" s="37"/>
      <c r="BP434" s="37"/>
      <c r="BQ434" s="37"/>
      <c r="BR434" s="38"/>
    </row>
    <row r="435" spans="1:70" s="2" customFormat="1" ht="26.25" customHeight="1">
      <c r="A435" s="65"/>
      <c r="B435" s="66"/>
      <c r="C435" s="42"/>
      <c r="D435" s="42"/>
      <c r="E435" s="42"/>
      <c r="F435" s="42"/>
      <c r="G435" s="42"/>
      <c r="H435" s="42"/>
      <c r="I435" s="28" t="s">
        <v>287</v>
      </c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30"/>
      <c r="BR435" s="11"/>
    </row>
    <row r="436" spans="1:70" s="1" customFormat="1" ht="12" customHeight="1">
      <c r="A436" s="32">
        <v>2</v>
      </c>
      <c r="B436" s="32"/>
      <c r="C436" s="92"/>
      <c r="D436" s="92"/>
      <c r="E436" s="92"/>
      <c r="F436" s="92"/>
      <c r="G436" s="92"/>
      <c r="H436" s="92"/>
      <c r="I436" s="93" t="s">
        <v>40</v>
      </c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H436" s="93"/>
      <c r="BI436" s="93"/>
      <c r="BJ436" s="93"/>
      <c r="BK436" s="93"/>
      <c r="BL436" s="93"/>
      <c r="BM436" s="93"/>
      <c r="BN436" s="93"/>
      <c r="BO436" s="93"/>
      <c r="BP436" s="93"/>
      <c r="BQ436" s="94"/>
      <c r="BR436" s="21"/>
    </row>
    <row r="437" spans="1:70" s="1" customFormat="1" ht="85.5" customHeight="1">
      <c r="A437" s="79" t="s">
        <v>46</v>
      </c>
      <c r="B437" s="80"/>
      <c r="C437" s="42"/>
      <c r="D437" s="42"/>
      <c r="E437" s="42"/>
      <c r="F437" s="42"/>
      <c r="G437" s="42"/>
      <c r="H437" s="42"/>
      <c r="I437" s="28" t="s">
        <v>286</v>
      </c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30"/>
      <c r="X437" s="43" t="s">
        <v>27</v>
      </c>
      <c r="Y437" s="43"/>
      <c r="Z437" s="43"/>
      <c r="AA437" s="106" t="s">
        <v>293</v>
      </c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8"/>
      <c r="AL437" s="87">
        <v>3</v>
      </c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>
        <v>3</v>
      </c>
      <c r="AY437" s="87"/>
      <c r="AZ437" s="87"/>
      <c r="BA437" s="87"/>
      <c r="BB437" s="87"/>
      <c r="BC437" s="87"/>
      <c r="BD437" s="87"/>
      <c r="BE437" s="87"/>
      <c r="BF437" s="87"/>
      <c r="BG437" s="87"/>
      <c r="BH437" s="96">
        <f>AX437-AL437</f>
        <v>0</v>
      </c>
      <c r="BI437" s="97"/>
      <c r="BJ437" s="97"/>
      <c r="BK437" s="97"/>
      <c r="BL437" s="97"/>
      <c r="BM437" s="97"/>
      <c r="BN437" s="97"/>
      <c r="BO437" s="97"/>
      <c r="BP437" s="97"/>
      <c r="BQ437" s="97"/>
      <c r="BR437" s="98"/>
    </row>
    <row r="438" spans="1:70" s="1" customFormat="1" ht="17.25" customHeight="1">
      <c r="A438" s="32">
        <v>3</v>
      </c>
      <c r="B438" s="32"/>
      <c r="C438" s="92"/>
      <c r="D438" s="92"/>
      <c r="E438" s="92"/>
      <c r="F438" s="92"/>
      <c r="G438" s="92"/>
      <c r="H438" s="92"/>
      <c r="I438" s="93" t="s">
        <v>41</v>
      </c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  <c r="BK438" s="93"/>
      <c r="BL438" s="93"/>
      <c r="BM438" s="93"/>
      <c r="BN438" s="93"/>
      <c r="BO438" s="93"/>
      <c r="BP438" s="93"/>
      <c r="BQ438" s="94"/>
      <c r="BR438" s="21"/>
    </row>
    <row r="439" spans="1:70" s="2" customFormat="1" ht="27.75" customHeight="1">
      <c r="A439" s="40" t="s">
        <v>47</v>
      </c>
      <c r="B439" s="41"/>
      <c r="C439" s="42"/>
      <c r="D439" s="42"/>
      <c r="E439" s="42"/>
      <c r="F439" s="42"/>
      <c r="G439" s="42"/>
      <c r="H439" s="42"/>
      <c r="I439" s="28" t="s">
        <v>281</v>
      </c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30"/>
      <c r="X439" s="43" t="s">
        <v>32</v>
      </c>
      <c r="Y439" s="43"/>
      <c r="Z439" s="43"/>
      <c r="AA439" s="43" t="s">
        <v>43</v>
      </c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87">
        <f>AM434/AL437</f>
        <v>39010</v>
      </c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>
        <f>AX434/AX437</f>
        <v>31423.440000000002</v>
      </c>
      <c r="AY439" s="87"/>
      <c r="AZ439" s="87"/>
      <c r="BA439" s="87"/>
      <c r="BB439" s="87"/>
      <c r="BC439" s="87"/>
      <c r="BD439" s="87"/>
      <c r="BE439" s="87"/>
      <c r="BF439" s="87"/>
      <c r="BG439" s="87"/>
      <c r="BH439" s="96">
        <f>AX439-AL439</f>
        <v>-7586.559999999998</v>
      </c>
      <c r="BI439" s="97"/>
      <c r="BJ439" s="97"/>
      <c r="BK439" s="97"/>
      <c r="BL439" s="97"/>
      <c r="BM439" s="97"/>
      <c r="BN439" s="97"/>
      <c r="BO439" s="97"/>
      <c r="BP439" s="97"/>
      <c r="BQ439" s="97"/>
      <c r="BR439" s="98"/>
    </row>
    <row r="440" spans="1:70" s="2" customFormat="1" ht="24.75" customHeight="1">
      <c r="A440" s="65"/>
      <c r="B440" s="66"/>
      <c r="C440" s="42"/>
      <c r="D440" s="42"/>
      <c r="E440" s="42"/>
      <c r="F440" s="42"/>
      <c r="G440" s="42"/>
      <c r="H440" s="42"/>
      <c r="I440" s="28" t="s">
        <v>294</v>
      </c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30"/>
      <c r="BR440" s="11"/>
    </row>
    <row r="441" spans="1:70" s="2" customFormat="1" ht="16.5" customHeight="1">
      <c r="A441" s="65"/>
      <c r="B441" s="66"/>
      <c r="C441" s="42"/>
      <c r="D441" s="42"/>
      <c r="E441" s="42"/>
      <c r="F441" s="42"/>
      <c r="G441" s="42"/>
      <c r="H441" s="42"/>
      <c r="I441" s="81" t="s">
        <v>288</v>
      </c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3"/>
      <c r="BR441" s="11"/>
    </row>
    <row r="442" spans="1:70" s="2" customFormat="1" ht="16.5" customHeight="1">
      <c r="A442" s="65"/>
      <c r="B442" s="66"/>
      <c r="C442" s="42"/>
      <c r="D442" s="42"/>
      <c r="E442" s="42"/>
      <c r="F442" s="42"/>
      <c r="G442" s="42"/>
      <c r="H442" s="42"/>
      <c r="I442" s="81" t="s">
        <v>289</v>
      </c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3"/>
      <c r="BR442" s="11"/>
    </row>
    <row r="443" spans="1:70" s="1" customFormat="1" ht="17.25" customHeight="1">
      <c r="A443" s="32">
        <v>1</v>
      </c>
      <c r="B443" s="32"/>
      <c r="C443" s="33"/>
      <c r="D443" s="34"/>
      <c r="E443" s="34"/>
      <c r="F443" s="34"/>
      <c r="G443" s="34"/>
      <c r="H443" s="35"/>
      <c r="I443" s="95" t="s">
        <v>50</v>
      </c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21"/>
    </row>
    <row r="444" spans="1:70" s="1" customFormat="1" ht="24" customHeight="1">
      <c r="A444" s="40" t="s">
        <v>44</v>
      </c>
      <c r="B444" s="41"/>
      <c r="C444" s="42"/>
      <c r="D444" s="42"/>
      <c r="E444" s="42"/>
      <c r="F444" s="42"/>
      <c r="G444" s="42"/>
      <c r="H444" s="42"/>
      <c r="I444" s="28" t="s">
        <v>70</v>
      </c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30"/>
      <c r="X444" s="43" t="s">
        <v>32</v>
      </c>
      <c r="Y444" s="43"/>
      <c r="Z444" s="43"/>
      <c r="AA444" s="39" t="s">
        <v>101</v>
      </c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7">
        <f>1515923+107593</f>
        <v>1623516</v>
      </c>
      <c r="AN444" s="37"/>
      <c r="AO444" s="37"/>
      <c r="AP444" s="37"/>
      <c r="AQ444" s="37"/>
      <c r="AR444" s="37"/>
      <c r="AS444" s="37"/>
      <c r="AT444" s="37"/>
      <c r="AU444" s="37"/>
      <c r="AV444" s="37"/>
      <c r="AW444" s="38"/>
      <c r="AX444" s="31">
        <f>1433140.05</f>
        <v>1433140.05</v>
      </c>
      <c r="AY444" s="31"/>
      <c r="AZ444" s="31"/>
      <c r="BA444" s="31"/>
      <c r="BB444" s="31"/>
      <c r="BC444" s="31"/>
      <c r="BD444" s="31"/>
      <c r="BE444" s="31"/>
      <c r="BF444" s="31"/>
      <c r="BG444" s="31"/>
      <c r="BH444" s="102">
        <f>AX444-AM444</f>
        <v>-190375.94999999995</v>
      </c>
      <c r="BI444" s="37"/>
      <c r="BJ444" s="37"/>
      <c r="BK444" s="37"/>
      <c r="BL444" s="37"/>
      <c r="BM444" s="37"/>
      <c r="BN444" s="37"/>
      <c r="BO444" s="37"/>
      <c r="BP444" s="37"/>
      <c r="BQ444" s="37"/>
      <c r="BR444" s="38"/>
    </row>
    <row r="445" spans="1:70" s="2" customFormat="1" ht="58.5" customHeight="1">
      <c r="A445" s="40" t="s">
        <v>45</v>
      </c>
      <c r="B445" s="41"/>
      <c r="C445" s="42"/>
      <c r="D445" s="42"/>
      <c r="E445" s="42"/>
      <c r="F445" s="42"/>
      <c r="G445" s="42"/>
      <c r="H445" s="42"/>
      <c r="I445" s="28" t="s">
        <v>1</v>
      </c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30"/>
      <c r="X445" s="43" t="s">
        <v>72</v>
      </c>
      <c r="Y445" s="43"/>
      <c r="Z445" s="43"/>
      <c r="AA445" s="39" t="s">
        <v>290</v>
      </c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178">
        <f>19.5</f>
        <v>19.5</v>
      </c>
      <c r="AN445" s="178"/>
      <c r="AO445" s="178"/>
      <c r="AP445" s="178"/>
      <c r="AQ445" s="178"/>
      <c r="AR445" s="178"/>
      <c r="AS445" s="178"/>
      <c r="AT445" s="178"/>
      <c r="AU445" s="178"/>
      <c r="AV445" s="178"/>
      <c r="AW445" s="179"/>
      <c r="AX445" s="214">
        <f>18.5</f>
        <v>18.5</v>
      </c>
      <c r="AY445" s="214"/>
      <c r="AZ445" s="214"/>
      <c r="BA445" s="214"/>
      <c r="BB445" s="214"/>
      <c r="BC445" s="214"/>
      <c r="BD445" s="214"/>
      <c r="BE445" s="214"/>
      <c r="BF445" s="214"/>
      <c r="BG445" s="214"/>
      <c r="BH445" s="102">
        <f>AX445-AM445</f>
        <v>-1</v>
      </c>
      <c r="BI445" s="37"/>
      <c r="BJ445" s="37"/>
      <c r="BK445" s="37"/>
      <c r="BL445" s="37"/>
      <c r="BM445" s="37"/>
      <c r="BN445" s="37"/>
      <c r="BO445" s="37"/>
      <c r="BP445" s="37"/>
      <c r="BQ445" s="37"/>
      <c r="BR445" s="38"/>
    </row>
    <row r="446" spans="1:70" s="2" customFormat="1" ht="48.75" customHeight="1">
      <c r="A446" s="65"/>
      <c r="B446" s="66"/>
      <c r="C446" s="42"/>
      <c r="D446" s="42"/>
      <c r="E446" s="42"/>
      <c r="F446" s="42"/>
      <c r="G446" s="42"/>
      <c r="H446" s="42"/>
      <c r="I446" s="28" t="s">
        <v>291</v>
      </c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30"/>
    </row>
    <row r="447" spans="1:70" s="1" customFormat="1" ht="17.25" customHeight="1">
      <c r="A447" s="32">
        <v>2</v>
      </c>
      <c r="B447" s="32"/>
      <c r="C447" s="92"/>
      <c r="D447" s="92"/>
      <c r="E447" s="92"/>
      <c r="F447" s="92"/>
      <c r="G447" s="92"/>
      <c r="H447" s="92"/>
      <c r="I447" s="93" t="s">
        <v>40</v>
      </c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3"/>
      <c r="BK447" s="93"/>
      <c r="BL447" s="93"/>
      <c r="BM447" s="93"/>
      <c r="BN447" s="93"/>
      <c r="BO447" s="93"/>
      <c r="BP447" s="93"/>
      <c r="BQ447" s="94"/>
      <c r="BR447" s="21"/>
    </row>
    <row r="448" spans="1:70" s="1" customFormat="1" ht="54" customHeight="1">
      <c r="A448" s="79" t="s">
        <v>46</v>
      </c>
      <c r="B448" s="80"/>
      <c r="C448" s="42"/>
      <c r="D448" s="42"/>
      <c r="E448" s="42"/>
      <c r="F448" s="42"/>
      <c r="G448" s="42"/>
      <c r="H448" s="42"/>
      <c r="I448" s="28" t="s">
        <v>84</v>
      </c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30"/>
      <c r="X448" s="43" t="s">
        <v>27</v>
      </c>
      <c r="Y448" s="43"/>
      <c r="Z448" s="43"/>
      <c r="AA448" s="103" t="s">
        <v>0</v>
      </c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87">
        <v>1</v>
      </c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>
        <v>1</v>
      </c>
      <c r="AY448" s="87"/>
      <c r="AZ448" s="87"/>
      <c r="BA448" s="87"/>
      <c r="BB448" s="87"/>
      <c r="BC448" s="87"/>
      <c r="BD448" s="87"/>
      <c r="BE448" s="87"/>
      <c r="BF448" s="87"/>
      <c r="BG448" s="87"/>
      <c r="BH448" s="197">
        <v>0</v>
      </c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9"/>
    </row>
    <row r="449" spans="1:70" s="2" customFormat="1" ht="14.25" customHeight="1">
      <c r="A449" s="89" t="s">
        <v>48</v>
      </c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  <c r="BB449" s="90"/>
      <c r="BC449" s="90"/>
      <c r="BD449" s="90"/>
      <c r="BE449" s="90"/>
      <c r="BF449" s="90"/>
      <c r="BG449" s="90"/>
      <c r="BH449" s="90"/>
      <c r="BI449" s="90"/>
      <c r="BJ449" s="90"/>
      <c r="BK449" s="90"/>
      <c r="BL449" s="90"/>
      <c r="BM449" s="90"/>
      <c r="BN449" s="90"/>
      <c r="BO449" s="90"/>
      <c r="BP449" s="90"/>
      <c r="BQ449" s="91"/>
      <c r="BR449" s="11"/>
    </row>
    <row r="450" spans="1:70" s="1" customFormat="1" ht="18" customHeight="1">
      <c r="A450" s="32">
        <v>3</v>
      </c>
      <c r="B450" s="32"/>
      <c r="C450" s="92"/>
      <c r="D450" s="92"/>
      <c r="E450" s="92"/>
      <c r="F450" s="92"/>
      <c r="G450" s="92"/>
      <c r="H450" s="92"/>
      <c r="I450" s="93" t="s">
        <v>41</v>
      </c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3"/>
      <c r="BG450" s="93"/>
      <c r="BH450" s="93"/>
      <c r="BI450" s="93"/>
      <c r="BJ450" s="93"/>
      <c r="BK450" s="93"/>
      <c r="BL450" s="93"/>
      <c r="BM450" s="93"/>
      <c r="BN450" s="93"/>
      <c r="BO450" s="93"/>
      <c r="BP450" s="93"/>
      <c r="BQ450" s="94"/>
      <c r="BR450" s="21"/>
    </row>
    <row r="451" spans="1:70" s="2" customFormat="1" ht="57" customHeight="1">
      <c r="A451" s="40" t="s">
        <v>47</v>
      </c>
      <c r="B451" s="41"/>
      <c r="C451" s="42"/>
      <c r="D451" s="42"/>
      <c r="E451" s="42"/>
      <c r="F451" s="42"/>
      <c r="G451" s="42"/>
      <c r="H451" s="42"/>
      <c r="I451" s="28" t="s">
        <v>82</v>
      </c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30"/>
      <c r="X451" s="43" t="s">
        <v>32</v>
      </c>
      <c r="Y451" s="43"/>
      <c r="Z451" s="43"/>
      <c r="AA451" s="43" t="s">
        <v>43</v>
      </c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87">
        <f>AM444/12</f>
        <v>135293</v>
      </c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>
        <f>AX444/12</f>
        <v>119428.33750000001</v>
      </c>
      <c r="AY451" s="87"/>
      <c r="AZ451" s="87"/>
      <c r="BA451" s="87"/>
      <c r="BB451" s="87"/>
      <c r="BC451" s="87"/>
      <c r="BD451" s="87"/>
      <c r="BE451" s="87"/>
      <c r="BF451" s="87"/>
      <c r="BG451" s="87"/>
      <c r="BH451" s="96">
        <f>AX451-AL451</f>
        <v>-15864.662499999991</v>
      </c>
      <c r="BI451" s="97"/>
      <c r="BJ451" s="97"/>
      <c r="BK451" s="97"/>
      <c r="BL451" s="97"/>
      <c r="BM451" s="97"/>
      <c r="BN451" s="97"/>
      <c r="BO451" s="97"/>
      <c r="BP451" s="97"/>
      <c r="BQ451" s="97"/>
      <c r="BR451" s="98"/>
    </row>
    <row r="452" spans="1:70" s="2" customFormat="1" ht="42" customHeight="1">
      <c r="A452" s="65"/>
      <c r="B452" s="66"/>
      <c r="C452" s="42"/>
      <c r="D452" s="42"/>
      <c r="E452" s="42"/>
      <c r="F452" s="42"/>
      <c r="G452" s="42"/>
      <c r="H452" s="42"/>
      <c r="I452" s="28" t="s">
        <v>292</v>
      </c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30"/>
      <c r="BR452" s="11"/>
    </row>
    <row r="453" spans="1:70" s="2" customFormat="1" ht="21" customHeight="1">
      <c r="A453" s="65"/>
      <c r="B453" s="66"/>
      <c r="C453" s="42"/>
      <c r="D453" s="42"/>
      <c r="E453" s="42"/>
      <c r="F453" s="42"/>
      <c r="G453" s="42"/>
      <c r="H453" s="42"/>
      <c r="I453" s="81" t="s">
        <v>295</v>
      </c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3"/>
      <c r="BR453" s="11"/>
    </row>
    <row r="454" spans="1:70" s="2" customFormat="1" ht="21" customHeight="1">
      <c r="A454" s="65"/>
      <c r="B454" s="66"/>
      <c r="C454" s="42"/>
      <c r="D454" s="42"/>
      <c r="E454" s="42"/>
      <c r="F454" s="42"/>
      <c r="G454" s="42"/>
      <c r="H454" s="42"/>
      <c r="I454" s="81" t="s">
        <v>300</v>
      </c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3"/>
      <c r="BR454" s="11"/>
    </row>
    <row r="455" spans="1:70" s="1" customFormat="1" ht="20.25" customHeight="1">
      <c r="A455" s="104">
        <v>1</v>
      </c>
      <c r="B455" s="105"/>
      <c r="C455" s="33"/>
      <c r="D455" s="34"/>
      <c r="E455" s="34"/>
      <c r="F455" s="34"/>
      <c r="G455" s="34"/>
      <c r="H455" s="35"/>
      <c r="I455" s="143" t="s">
        <v>50</v>
      </c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3"/>
      <c r="BK455" s="93"/>
      <c r="BL455" s="93"/>
      <c r="BM455" s="93"/>
      <c r="BN455" s="93"/>
      <c r="BO455" s="93"/>
      <c r="BP455" s="93"/>
      <c r="BQ455" s="94"/>
      <c r="BR455" s="21"/>
    </row>
    <row r="456" spans="1:70" s="2" customFormat="1" ht="38.25" customHeight="1">
      <c r="A456" s="40" t="s">
        <v>44</v>
      </c>
      <c r="B456" s="41"/>
      <c r="C456" s="42"/>
      <c r="D456" s="42"/>
      <c r="E456" s="42"/>
      <c r="F456" s="42"/>
      <c r="G456" s="42"/>
      <c r="H456" s="42"/>
      <c r="I456" s="28" t="s">
        <v>2</v>
      </c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30"/>
      <c r="X456" s="43" t="s">
        <v>32</v>
      </c>
      <c r="Y456" s="43"/>
      <c r="Z456" s="43"/>
      <c r="AA456" s="39" t="s">
        <v>296</v>
      </c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7">
        <f>47000</f>
        <v>47000</v>
      </c>
      <c r="AN456" s="37"/>
      <c r="AO456" s="37"/>
      <c r="AP456" s="37"/>
      <c r="AQ456" s="37"/>
      <c r="AR456" s="37"/>
      <c r="AS456" s="37"/>
      <c r="AT456" s="37"/>
      <c r="AU456" s="37"/>
      <c r="AV456" s="37"/>
      <c r="AW456" s="38"/>
      <c r="AX456" s="31">
        <f>46194</f>
        <v>46194</v>
      </c>
      <c r="AY456" s="31"/>
      <c r="AZ456" s="31"/>
      <c r="BA456" s="31"/>
      <c r="BB456" s="31"/>
      <c r="BC456" s="31"/>
      <c r="BD456" s="31"/>
      <c r="BE456" s="31"/>
      <c r="BF456" s="31"/>
      <c r="BG456" s="31"/>
      <c r="BH456" s="102">
        <f>AX456-AM456</f>
        <v>-806</v>
      </c>
      <c r="BI456" s="37"/>
      <c r="BJ456" s="37"/>
      <c r="BK456" s="37"/>
      <c r="BL456" s="37"/>
      <c r="BM456" s="37"/>
      <c r="BN456" s="37"/>
      <c r="BO456" s="37"/>
      <c r="BP456" s="37"/>
      <c r="BQ456" s="37"/>
      <c r="BR456" s="38"/>
    </row>
    <row r="457" spans="1:70" s="2" customFormat="1" ht="23.25" customHeight="1">
      <c r="A457" s="65"/>
      <c r="B457" s="66"/>
      <c r="C457" s="42"/>
      <c r="D457" s="42"/>
      <c r="E457" s="42"/>
      <c r="F457" s="42"/>
      <c r="G457" s="42"/>
      <c r="H457" s="42"/>
      <c r="I457" s="28" t="s">
        <v>298</v>
      </c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30"/>
      <c r="BR457" s="11"/>
    </row>
    <row r="458" spans="1:70" s="1" customFormat="1" ht="18" customHeight="1">
      <c r="A458" s="32">
        <v>2</v>
      </c>
      <c r="B458" s="32"/>
      <c r="C458" s="92"/>
      <c r="D458" s="92"/>
      <c r="E458" s="92"/>
      <c r="F458" s="92"/>
      <c r="G458" s="92"/>
      <c r="H458" s="92"/>
      <c r="I458" s="93" t="s">
        <v>40</v>
      </c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93"/>
      <c r="BH458" s="93"/>
      <c r="BI458" s="93"/>
      <c r="BJ458" s="93"/>
      <c r="BK458" s="93"/>
      <c r="BL458" s="93"/>
      <c r="BM458" s="93"/>
      <c r="BN458" s="93"/>
      <c r="BO458" s="93"/>
      <c r="BP458" s="93"/>
      <c r="BQ458" s="94"/>
      <c r="BR458" s="21"/>
    </row>
    <row r="459" spans="1:70" s="1" customFormat="1" ht="82.5" customHeight="1">
      <c r="A459" s="79" t="s">
        <v>46</v>
      </c>
      <c r="B459" s="80"/>
      <c r="C459" s="42"/>
      <c r="D459" s="42"/>
      <c r="E459" s="42"/>
      <c r="F459" s="42"/>
      <c r="G459" s="42"/>
      <c r="H459" s="42"/>
      <c r="I459" s="28" t="s">
        <v>78</v>
      </c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30"/>
      <c r="X459" s="43" t="s">
        <v>27</v>
      </c>
      <c r="Y459" s="43"/>
      <c r="Z459" s="43"/>
      <c r="AA459" s="103" t="s">
        <v>297</v>
      </c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87">
        <v>1</v>
      </c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>
        <v>1</v>
      </c>
      <c r="AY459" s="87"/>
      <c r="AZ459" s="87"/>
      <c r="BA459" s="87"/>
      <c r="BB459" s="87"/>
      <c r="BC459" s="87"/>
      <c r="BD459" s="87"/>
      <c r="BE459" s="87"/>
      <c r="BF459" s="87"/>
      <c r="BG459" s="87"/>
      <c r="BH459" s="197">
        <v>0</v>
      </c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9"/>
    </row>
    <row r="460" spans="1:70" s="1" customFormat="1" ht="14.25" customHeight="1">
      <c r="A460" s="32">
        <v>3</v>
      </c>
      <c r="B460" s="32"/>
      <c r="C460" s="92"/>
      <c r="D460" s="92"/>
      <c r="E460" s="92"/>
      <c r="F460" s="92"/>
      <c r="G460" s="92"/>
      <c r="H460" s="92"/>
      <c r="I460" s="93" t="s">
        <v>41</v>
      </c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3"/>
      <c r="BN460" s="93"/>
      <c r="BO460" s="93"/>
      <c r="BP460" s="93"/>
      <c r="BQ460" s="94"/>
      <c r="BR460" s="21"/>
    </row>
    <row r="461" spans="1:70" s="2" customFormat="1" ht="36.75" customHeight="1">
      <c r="A461" s="88" t="s">
        <v>47</v>
      </c>
      <c r="B461" s="88"/>
      <c r="C461" s="42"/>
      <c r="D461" s="42"/>
      <c r="E461" s="42"/>
      <c r="F461" s="42"/>
      <c r="G461" s="42"/>
      <c r="H461" s="42"/>
      <c r="I461" s="28" t="s">
        <v>3</v>
      </c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30"/>
      <c r="X461" s="43" t="s">
        <v>32</v>
      </c>
      <c r="Y461" s="43"/>
      <c r="Z461" s="43"/>
      <c r="AA461" s="43" t="s">
        <v>43</v>
      </c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87">
        <f>AM456/1</f>
        <v>47000</v>
      </c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>
        <f>AX456/AX459</f>
        <v>46194</v>
      </c>
      <c r="AY461" s="87"/>
      <c r="AZ461" s="87"/>
      <c r="BA461" s="87"/>
      <c r="BB461" s="87"/>
      <c r="BC461" s="87"/>
      <c r="BD461" s="87"/>
      <c r="BE461" s="87"/>
      <c r="BF461" s="87"/>
      <c r="BG461" s="87"/>
      <c r="BH461" s="96">
        <f>AX461-AL461</f>
        <v>-806</v>
      </c>
      <c r="BI461" s="97"/>
      <c r="BJ461" s="97"/>
      <c r="BK461" s="97"/>
      <c r="BL461" s="97"/>
      <c r="BM461" s="97"/>
      <c r="BN461" s="97"/>
      <c r="BO461" s="97"/>
      <c r="BP461" s="97"/>
      <c r="BQ461" s="97"/>
      <c r="BR461" s="98"/>
    </row>
    <row r="462" spans="1:70" s="2" customFormat="1" ht="33" customHeight="1">
      <c r="A462" s="65"/>
      <c r="B462" s="66"/>
      <c r="C462" s="42"/>
      <c r="D462" s="42"/>
      <c r="E462" s="42"/>
      <c r="F462" s="42"/>
      <c r="G462" s="42"/>
      <c r="H462" s="42"/>
      <c r="I462" s="28" t="s">
        <v>299</v>
      </c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30"/>
      <c r="BR462" s="11"/>
    </row>
    <row r="463" spans="1:70" s="2" customFormat="1" ht="21" customHeight="1">
      <c r="A463" s="65"/>
      <c r="B463" s="66"/>
      <c r="C463" s="42"/>
      <c r="D463" s="42"/>
      <c r="E463" s="42"/>
      <c r="F463" s="42"/>
      <c r="G463" s="42"/>
      <c r="H463" s="42"/>
      <c r="I463" s="81" t="s">
        <v>304</v>
      </c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3"/>
      <c r="BR463" s="11"/>
    </row>
    <row r="464" spans="1:70" s="1" customFormat="1" ht="20.25" customHeight="1">
      <c r="A464" s="32">
        <v>1</v>
      </c>
      <c r="B464" s="32"/>
      <c r="C464" s="33"/>
      <c r="D464" s="34"/>
      <c r="E464" s="34"/>
      <c r="F464" s="34"/>
      <c r="G464" s="34"/>
      <c r="H464" s="35"/>
      <c r="I464" s="95" t="s">
        <v>50</v>
      </c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21"/>
    </row>
    <row r="465" spans="1:70" s="2" customFormat="1" ht="72.75" customHeight="1">
      <c r="A465" s="40" t="s">
        <v>44</v>
      </c>
      <c r="B465" s="41"/>
      <c r="C465" s="42"/>
      <c r="D465" s="42"/>
      <c r="E465" s="42"/>
      <c r="F465" s="42"/>
      <c r="G465" s="42"/>
      <c r="H465" s="42"/>
      <c r="I465" s="28" t="s">
        <v>70</v>
      </c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30"/>
      <c r="X465" s="43" t="s">
        <v>32</v>
      </c>
      <c r="Y465" s="43"/>
      <c r="Z465" s="43"/>
      <c r="AA465" s="39" t="s">
        <v>302</v>
      </c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7">
        <v>50000</v>
      </c>
      <c r="AN465" s="37"/>
      <c r="AO465" s="37"/>
      <c r="AP465" s="37"/>
      <c r="AQ465" s="37"/>
      <c r="AR465" s="37"/>
      <c r="AS465" s="37"/>
      <c r="AT465" s="37"/>
      <c r="AU465" s="37"/>
      <c r="AV465" s="37"/>
      <c r="AW465" s="38"/>
      <c r="AX465" s="31">
        <v>50000</v>
      </c>
      <c r="AY465" s="31"/>
      <c r="AZ465" s="31"/>
      <c r="BA465" s="31"/>
      <c r="BB465" s="31"/>
      <c r="BC465" s="31"/>
      <c r="BD465" s="31"/>
      <c r="BE465" s="31"/>
      <c r="BF465" s="31"/>
      <c r="BG465" s="31"/>
      <c r="BH465" s="102">
        <f>AX465-AM465</f>
        <v>0</v>
      </c>
      <c r="BI465" s="37"/>
      <c r="BJ465" s="37"/>
      <c r="BK465" s="37"/>
      <c r="BL465" s="37"/>
      <c r="BM465" s="37"/>
      <c r="BN465" s="37"/>
      <c r="BO465" s="37"/>
      <c r="BP465" s="37"/>
      <c r="BQ465" s="37"/>
      <c r="BR465" s="38"/>
    </row>
    <row r="466" spans="1:70" s="1" customFormat="1" ht="18" customHeight="1">
      <c r="A466" s="32">
        <v>2</v>
      </c>
      <c r="B466" s="32"/>
      <c r="C466" s="92"/>
      <c r="D466" s="92"/>
      <c r="E466" s="92"/>
      <c r="F466" s="92"/>
      <c r="G466" s="92"/>
      <c r="H466" s="92"/>
      <c r="I466" s="93" t="s">
        <v>40</v>
      </c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  <c r="BE466" s="93"/>
      <c r="BF466" s="93"/>
      <c r="BG466" s="93"/>
      <c r="BH466" s="93"/>
      <c r="BI466" s="93"/>
      <c r="BJ466" s="93"/>
      <c r="BK466" s="93"/>
      <c r="BL466" s="93"/>
      <c r="BM466" s="93"/>
      <c r="BN466" s="93"/>
      <c r="BO466" s="93"/>
      <c r="BP466" s="93"/>
      <c r="BQ466" s="94"/>
      <c r="BR466" s="21"/>
    </row>
    <row r="467" spans="1:70" s="1" customFormat="1" ht="82.5" customHeight="1">
      <c r="A467" s="79" t="s">
        <v>46</v>
      </c>
      <c r="B467" s="80"/>
      <c r="C467" s="42"/>
      <c r="D467" s="42"/>
      <c r="E467" s="42"/>
      <c r="F467" s="42"/>
      <c r="G467" s="42"/>
      <c r="H467" s="42"/>
      <c r="I467" s="28" t="s">
        <v>301</v>
      </c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30"/>
      <c r="X467" s="43" t="s">
        <v>27</v>
      </c>
      <c r="Y467" s="43"/>
      <c r="Z467" s="43"/>
      <c r="AA467" s="103" t="s">
        <v>297</v>
      </c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87">
        <v>1</v>
      </c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>
        <v>1</v>
      </c>
      <c r="AY467" s="87"/>
      <c r="AZ467" s="87"/>
      <c r="BA467" s="87"/>
      <c r="BB467" s="87"/>
      <c r="BC467" s="87"/>
      <c r="BD467" s="87"/>
      <c r="BE467" s="87"/>
      <c r="BF467" s="87"/>
      <c r="BG467" s="87"/>
      <c r="BH467" s="197">
        <v>0</v>
      </c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9"/>
    </row>
    <row r="468" spans="1:70" s="1" customFormat="1" ht="14.25" customHeight="1">
      <c r="A468" s="32">
        <v>3</v>
      </c>
      <c r="B468" s="32"/>
      <c r="C468" s="92"/>
      <c r="D468" s="92"/>
      <c r="E468" s="92"/>
      <c r="F468" s="92"/>
      <c r="G468" s="92"/>
      <c r="H468" s="92"/>
      <c r="I468" s="93" t="s">
        <v>41</v>
      </c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  <c r="BK468" s="93"/>
      <c r="BL468" s="93"/>
      <c r="BM468" s="93"/>
      <c r="BN468" s="93"/>
      <c r="BO468" s="93"/>
      <c r="BP468" s="93"/>
      <c r="BQ468" s="94"/>
      <c r="BR468" s="21"/>
    </row>
    <row r="469" spans="1:70" s="2" customFormat="1" ht="36.75" customHeight="1">
      <c r="A469" s="88" t="s">
        <v>47</v>
      </c>
      <c r="B469" s="88"/>
      <c r="C469" s="42"/>
      <c r="D469" s="42"/>
      <c r="E469" s="42"/>
      <c r="F469" s="42"/>
      <c r="G469" s="42"/>
      <c r="H469" s="42"/>
      <c r="I469" s="28" t="s">
        <v>303</v>
      </c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30"/>
      <c r="X469" s="43" t="s">
        <v>32</v>
      </c>
      <c r="Y469" s="43"/>
      <c r="Z469" s="43"/>
      <c r="AA469" s="43" t="s">
        <v>43</v>
      </c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87">
        <f>AM465/1</f>
        <v>50000</v>
      </c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>
        <f>AX465/AX467</f>
        <v>50000</v>
      </c>
      <c r="AY469" s="87"/>
      <c r="AZ469" s="87"/>
      <c r="BA469" s="87"/>
      <c r="BB469" s="87"/>
      <c r="BC469" s="87"/>
      <c r="BD469" s="87"/>
      <c r="BE469" s="87"/>
      <c r="BF469" s="87"/>
      <c r="BG469" s="87"/>
      <c r="BH469" s="96">
        <f>AX469-AL469</f>
        <v>0</v>
      </c>
      <c r="BI469" s="97"/>
      <c r="BJ469" s="97"/>
      <c r="BK469" s="97"/>
      <c r="BL469" s="97"/>
      <c r="BM469" s="97"/>
      <c r="BN469" s="97"/>
      <c r="BO469" s="97"/>
      <c r="BP469" s="97"/>
      <c r="BQ469" s="97"/>
      <c r="BR469" s="98"/>
    </row>
    <row r="470" spans="1:70" s="2" customFormat="1" ht="38.25" customHeight="1">
      <c r="A470" s="65"/>
      <c r="B470" s="66"/>
      <c r="C470" s="42"/>
      <c r="D470" s="42"/>
      <c r="E470" s="42"/>
      <c r="F470" s="42"/>
      <c r="G470" s="42"/>
      <c r="H470" s="42"/>
      <c r="I470" s="81" t="s">
        <v>305</v>
      </c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3"/>
    </row>
    <row r="471" spans="1:70" s="1" customFormat="1" ht="20.25" customHeight="1">
      <c r="A471" s="32">
        <v>1</v>
      </c>
      <c r="B471" s="32"/>
      <c r="C471" s="33"/>
      <c r="D471" s="34"/>
      <c r="E471" s="34"/>
      <c r="F471" s="34"/>
      <c r="G471" s="34"/>
      <c r="H471" s="35"/>
      <c r="I471" s="95" t="s">
        <v>50</v>
      </c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21"/>
    </row>
    <row r="472" spans="1:70" s="2" customFormat="1" ht="38.25" customHeight="1">
      <c r="A472" s="40" t="s">
        <v>44</v>
      </c>
      <c r="B472" s="41"/>
      <c r="C472" s="42"/>
      <c r="D472" s="42"/>
      <c r="E472" s="42"/>
      <c r="F472" s="42"/>
      <c r="G472" s="42"/>
      <c r="H472" s="42"/>
      <c r="I472" s="28" t="s">
        <v>70</v>
      </c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30"/>
      <c r="X472" s="43" t="s">
        <v>32</v>
      </c>
      <c r="Y472" s="43"/>
      <c r="Z472" s="43"/>
      <c r="AA472" s="39" t="s">
        <v>296</v>
      </c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7">
        <v>14400</v>
      </c>
      <c r="AN472" s="37"/>
      <c r="AO472" s="37"/>
      <c r="AP472" s="37"/>
      <c r="AQ472" s="37"/>
      <c r="AR472" s="37"/>
      <c r="AS472" s="37"/>
      <c r="AT472" s="37"/>
      <c r="AU472" s="37"/>
      <c r="AV472" s="37"/>
      <c r="AW472" s="38"/>
      <c r="AX472" s="31">
        <v>14400</v>
      </c>
      <c r="AY472" s="31"/>
      <c r="AZ472" s="31"/>
      <c r="BA472" s="31"/>
      <c r="BB472" s="31"/>
      <c r="BC472" s="31"/>
      <c r="BD472" s="31"/>
      <c r="BE472" s="31"/>
      <c r="BF472" s="31"/>
      <c r="BG472" s="31"/>
      <c r="BH472" s="102">
        <f>AX472-AM472</f>
        <v>0</v>
      </c>
      <c r="BI472" s="37"/>
      <c r="BJ472" s="37"/>
      <c r="BK472" s="37"/>
      <c r="BL472" s="37"/>
      <c r="BM472" s="37"/>
      <c r="BN472" s="37"/>
      <c r="BO472" s="37"/>
      <c r="BP472" s="37"/>
      <c r="BQ472" s="37"/>
      <c r="BR472" s="38"/>
    </row>
    <row r="473" spans="1:70" s="1" customFormat="1" ht="18" customHeight="1">
      <c r="A473" s="32">
        <v>2</v>
      </c>
      <c r="B473" s="32"/>
      <c r="C473" s="92"/>
      <c r="D473" s="92"/>
      <c r="E473" s="92"/>
      <c r="F473" s="92"/>
      <c r="G473" s="92"/>
      <c r="H473" s="92"/>
      <c r="I473" s="93" t="s">
        <v>40</v>
      </c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3"/>
      <c r="BK473" s="93"/>
      <c r="BL473" s="93"/>
      <c r="BM473" s="93"/>
      <c r="BN473" s="93"/>
      <c r="BO473" s="93"/>
      <c r="BP473" s="93"/>
      <c r="BQ473" s="94"/>
      <c r="BR473" s="21"/>
    </row>
    <row r="474" spans="1:70" s="1" customFormat="1" ht="82.5" customHeight="1">
      <c r="A474" s="79" t="s">
        <v>46</v>
      </c>
      <c r="B474" s="80"/>
      <c r="C474" s="42"/>
      <c r="D474" s="42"/>
      <c r="E474" s="42"/>
      <c r="F474" s="42"/>
      <c r="G474" s="42"/>
      <c r="H474" s="42"/>
      <c r="I474" s="28" t="s">
        <v>306</v>
      </c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30"/>
      <c r="X474" s="43" t="s">
        <v>27</v>
      </c>
      <c r="Y474" s="43"/>
      <c r="Z474" s="43"/>
      <c r="AA474" s="103" t="s">
        <v>297</v>
      </c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87">
        <v>30</v>
      </c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>
        <v>20</v>
      </c>
      <c r="AY474" s="87"/>
      <c r="AZ474" s="87"/>
      <c r="BA474" s="87"/>
      <c r="BB474" s="87"/>
      <c r="BC474" s="87"/>
      <c r="BD474" s="87"/>
      <c r="BE474" s="87"/>
      <c r="BF474" s="87"/>
      <c r="BG474" s="87"/>
      <c r="BH474" s="96">
        <f>AX474-AL474</f>
        <v>-10</v>
      </c>
      <c r="BI474" s="97"/>
      <c r="BJ474" s="97"/>
      <c r="BK474" s="97"/>
      <c r="BL474" s="97"/>
      <c r="BM474" s="97"/>
      <c r="BN474" s="97"/>
      <c r="BO474" s="97"/>
      <c r="BP474" s="97"/>
      <c r="BQ474" s="97"/>
      <c r="BR474" s="98"/>
    </row>
    <row r="475" spans="1:70" s="1" customFormat="1" ht="14.25" customHeight="1">
      <c r="A475" s="32">
        <v>3</v>
      </c>
      <c r="B475" s="32"/>
      <c r="C475" s="92"/>
      <c r="D475" s="92"/>
      <c r="E475" s="92"/>
      <c r="F475" s="92"/>
      <c r="G475" s="92"/>
      <c r="H475" s="92"/>
      <c r="I475" s="93" t="s">
        <v>41</v>
      </c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4"/>
      <c r="BR475" s="21"/>
    </row>
    <row r="476" spans="1:70" s="2" customFormat="1" ht="36.75" customHeight="1">
      <c r="A476" s="88" t="s">
        <v>47</v>
      </c>
      <c r="B476" s="88"/>
      <c r="C476" s="42"/>
      <c r="D476" s="42"/>
      <c r="E476" s="42"/>
      <c r="F476" s="42"/>
      <c r="G476" s="42"/>
      <c r="H476" s="42"/>
      <c r="I476" s="28" t="s">
        <v>307</v>
      </c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30"/>
      <c r="X476" s="43" t="s">
        <v>32</v>
      </c>
      <c r="Y476" s="43"/>
      <c r="Z476" s="43"/>
      <c r="AA476" s="43" t="s">
        <v>43</v>
      </c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87">
        <f>AM472/AL474</f>
        <v>480</v>
      </c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>
        <f>AX472/AX474</f>
        <v>720</v>
      </c>
      <c r="AY476" s="87"/>
      <c r="AZ476" s="87"/>
      <c r="BA476" s="87"/>
      <c r="BB476" s="87"/>
      <c r="BC476" s="87"/>
      <c r="BD476" s="87"/>
      <c r="BE476" s="87"/>
      <c r="BF476" s="87"/>
      <c r="BG476" s="87"/>
      <c r="BH476" s="96">
        <f>AX476-AL476</f>
        <v>240</v>
      </c>
      <c r="BI476" s="97"/>
      <c r="BJ476" s="97"/>
      <c r="BK476" s="97"/>
      <c r="BL476" s="97"/>
      <c r="BM476" s="97"/>
      <c r="BN476" s="97"/>
      <c r="BO476" s="97"/>
      <c r="BP476" s="97"/>
      <c r="BQ476" s="97"/>
      <c r="BR476" s="98"/>
    </row>
    <row r="477" spans="1:70" s="2" customFormat="1" ht="18.75" customHeight="1">
      <c r="A477" s="65"/>
      <c r="B477" s="66"/>
      <c r="C477" s="42"/>
      <c r="D477" s="42"/>
      <c r="E477" s="42"/>
      <c r="F477" s="42"/>
      <c r="G477" s="42"/>
      <c r="H477" s="42"/>
      <c r="I477" s="81" t="s">
        <v>308</v>
      </c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3"/>
    </row>
    <row r="478" spans="1:70" s="2" customFormat="1" ht="21" customHeight="1">
      <c r="A478" s="65"/>
      <c r="B478" s="66"/>
      <c r="C478" s="42"/>
      <c r="D478" s="42"/>
      <c r="E478" s="42"/>
      <c r="F478" s="42"/>
      <c r="G478" s="42"/>
      <c r="H478" s="42"/>
      <c r="I478" s="81" t="s">
        <v>309</v>
      </c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3"/>
    </row>
    <row r="479" spans="1:70" s="2" customFormat="1" ht="22.5" customHeight="1">
      <c r="A479" s="65"/>
      <c r="B479" s="66"/>
      <c r="C479" s="42"/>
      <c r="D479" s="42"/>
      <c r="E479" s="42"/>
      <c r="F479" s="42"/>
      <c r="G479" s="42"/>
      <c r="H479" s="42"/>
      <c r="I479" s="81" t="s">
        <v>310</v>
      </c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3"/>
    </row>
    <row r="480" spans="1:70" s="1" customFormat="1" ht="20.25" customHeight="1">
      <c r="A480" s="32">
        <v>1</v>
      </c>
      <c r="B480" s="32"/>
      <c r="C480" s="33"/>
      <c r="D480" s="34"/>
      <c r="E480" s="34"/>
      <c r="F480" s="34"/>
      <c r="G480" s="34"/>
      <c r="H480" s="35"/>
      <c r="I480" s="95" t="s">
        <v>50</v>
      </c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21"/>
    </row>
    <row r="481" spans="1:70" s="2" customFormat="1" ht="84" customHeight="1">
      <c r="A481" s="40" t="s">
        <v>44</v>
      </c>
      <c r="B481" s="41"/>
      <c r="C481" s="42"/>
      <c r="D481" s="42"/>
      <c r="E481" s="42"/>
      <c r="F481" s="42"/>
      <c r="G481" s="42"/>
      <c r="H481" s="42"/>
      <c r="I481" s="28" t="s">
        <v>311</v>
      </c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30"/>
      <c r="X481" s="43" t="s">
        <v>32</v>
      </c>
      <c r="Y481" s="43"/>
      <c r="Z481" s="43"/>
      <c r="AA481" s="39" t="s">
        <v>312</v>
      </c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7">
        <v>15</v>
      </c>
      <c r="AN481" s="37"/>
      <c r="AO481" s="37"/>
      <c r="AP481" s="37"/>
      <c r="AQ481" s="37"/>
      <c r="AR481" s="37"/>
      <c r="AS481" s="37"/>
      <c r="AT481" s="37"/>
      <c r="AU481" s="37"/>
      <c r="AV481" s="37"/>
      <c r="AW481" s="38"/>
      <c r="AX481" s="31">
        <v>18</v>
      </c>
      <c r="AY481" s="31"/>
      <c r="AZ481" s="31"/>
      <c r="BA481" s="31"/>
      <c r="BB481" s="31"/>
      <c r="BC481" s="31"/>
      <c r="BD481" s="31"/>
      <c r="BE481" s="31"/>
      <c r="BF481" s="31"/>
      <c r="BG481" s="31"/>
      <c r="BH481" s="102">
        <f>AX481-AM481</f>
        <v>3</v>
      </c>
      <c r="BI481" s="37"/>
      <c r="BJ481" s="37"/>
      <c r="BK481" s="37"/>
      <c r="BL481" s="37"/>
      <c r="BM481" s="37"/>
      <c r="BN481" s="37"/>
      <c r="BO481" s="37"/>
      <c r="BP481" s="37"/>
      <c r="BQ481" s="37"/>
      <c r="BR481" s="38"/>
    </row>
    <row r="482" spans="1:70" s="2" customFormat="1" ht="30" customHeight="1">
      <c r="A482" s="40" t="s">
        <v>45</v>
      </c>
      <c r="B482" s="41"/>
      <c r="C482" s="42"/>
      <c r="D482" s="42"/>
      <c r="E482" s="42"/>
      <c r="F482" s="42"/>
      <c r="G482" s="42"/>
      <c r="H482" s="42"/>
      <c r="I482" s="28" t="s">
        <v>75</v>
      </c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30"/>
      <c r="X482" s="43" t="s">
        <v>32</v>
      </c>
      <c r="Y482" s="43"/>
      <c r="Z482" s="43"/>
      <c r="AA482" s="39" t="s">
        <v>296</v>
      </c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7">
        <v>28545</v>
      </c>
      <c r="AN482" s="37"/>
      <c r="AO482" s="37"/>
      <c r="AP482" s="37"/>
      <c r="AQ482" s="37"/>
      <c r="AR482" s="37"/>
      <c r="AS482" s="37"/>
      <c r="AT482" s="37"/>
      <c r="AU482" s="37"/>
      <c r="AV482" s="37"/>
      <c r="AW482" s="38"/>
      <c r="AX482" s="31">
        <f>28545</f>
        <v>28545</v>
      </c>
      <c r="AY482" s="31"/>
      <c r="AZ482" s="31"/>
      <c r="BA482" s="31"/>
      <c r="BB482" s="31"/>
      <c r="BC482" s="31"/>
      <c r="BD482" s="31"/>
      <c r="BE482" s="31"/>
      <c r="BF482" s="31"/>
      <c r="BG482" s="31"/>
      <c r="BH482" s="102">
        <f>AX482-AM482</f>
        <v>0</v>
      </c>
      <c r="BI482" s="37"/>
      <c r="BJ482" s="37"/>
      <c r="BK482" s="37"/>
      <c r="BL482" s="37"/>
      <c r="BM482" s="37"/>
      <c r="BN482" s="37"/>
      <c r="BO482" s="37"/>
      <c r="BP482" s="37"/>
      <c r="BQ482" s="37"/>
      <c r="BR482" s="38"/>
    </row>
    <row r="483" spans="1:70" s="1" customFormat="1" ht="18" customHeight="1">
      <c r="A483" s="32">
        <v>2</v>
      </c>
      <c r="B483" s="32"/>
      <c r="C483" s="92"/>
      <c r="D483" s="92"/>
      <c r="E483" s="92"/>
      <c r="F483" s="92"/>
      <c r="G483" s="92"/>
      <c r="H483" s="92"/>
      <c r="I483" s="93" t="s">
        <v>40</v>
      </c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3"/>
      <c r="BN483" s="93"/>
      <c r="BO483" s="93"/>
      <c r="BP483" s="93"/>
      <c r="BQ483" s="94"/>
      <c r="BR483" s="21"/>
    </row>
    <row r="484" spans="1:70" s="1" customFormat="1" ht="82.5" customHeight="1">
      <c r="A484" s="79" t="s">
        <v>46</v>
      </c>
      <c r="B484" s="80"/>
      <c r="C484" s="42"/>
      <c r="D484" s="42"/>
      <c r="E484" s="42"/>
      <c r="F484" s="42"/>
      <c r="G484" s="42"/>
      <c r="H484" s="42"/>
      <c r="I484" s="28" t="s">
        <v>313</v>
      </c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30"/>
      <c r="X484" s="43" t="s">
        <v>27</v>
      </c>
      <c r="Y484" s="43"/>
      <c r="Z484" s="43"/>
      <c r="AA484" s="39" t="s">
        <v>380</v>
      </c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87">
        <v>22</v>
      </c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>
        <v>37</v>
      </c>
      <c r="AY484" s="87"/>
      <c r="AZ484" s="87"/>
      <c r="BA484" s="87"/>
      <c r="BB484" s="87"/>
      <c r="BC484" s="87"/>
      <c r="BD484" s="87"/>
      <c r="BE484" s="87"/>
      <c r="BF484" s="87"/>
      <c r="BG484" s="87"/>
      <c r="BH484" s="96">
        <f>AX484-AL484</f>
        <v>15</v>
      </c>
      <c r="BI484" s="97"/>
      <c r="BJ484" s="97"/>
      <c r="BK484" s="97"/>
      <c r="BL484" s="97"/>
      <c r="BM484" s="97"/>
      <c r="BN484" s="97"/>
      <c r="BO484" s="97"/>
      <c r="BP484" s="97"/>
      <c r="BQ484" s="97"/>
      <c r="BR484" s="98"/>
    </row>
    <row r="485" spans="1:70" s="1" customFormat="1" ht="14.25" customHeight="1">
      <c r="A485" s="32">
        <v>3</v>
      </c>
      <c r="B485" s="32"/>
      <c r="C485" s="92"/>
      <c r="D485" s="92"/>
      <c r="E485" s="92"/>
      <c r="F485" s="92"/>
      <c r="G485" s="92"/>
      <c r="H485" s="92"/>
      <c r="I485" s="93" t="s">
        <v>41</v>
      </c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3"/>
      <c r="BN485" s="93"/>
      <c r="BO485" s="93"/>
      <c r="BP485" s="93"/>
      <c r="BQ485" s="94"/>
      <c r="BR485" s="21"/>
    </row>
    <row r="486" spans="1:70" s="2" customFormat="1" ht="54" customHeight="1">
      <c r="A486" s="88" t="s">
        <v>47</v>
      </c>
      <c r="B486" s="88"/>
      <c r="C486" s="42"/>
      <c r="D486" s="42"/>
      <c r="E486" s="42"/>
      <c r="F486" s="42"/>
      <c r="G486" s="42"/>
      <c r="H486" s="42"/>
      <c r="I486" s="28" t="s">
        <v>314</v>
      </c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30"/>
      <c r="X486" s="43" t="s">
        <v>32</v>
      </c>
      <c r="Y486" s="43"/>
      <c r="Z486" s="43"/>
      <c r="AA486" s="43" t="s">
        <v>43</v>
      </c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87">
        <f>AM482/AL484</f>
        <v>1297.5</v>
      </c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>
        <f>AX482/AX484</f>
        <v>771.4864864864865</v>
      </c>
      <c r="AY486" s="87"/>
      <c r="AZ486" s="87"/>
      <c r="BA486" s="87"/>
      <c r="BB486" s="87"/>
      <c r="BC486" s="87"/>
      <c r="BD486" s="87"/>
      <c r="BE486" s="87"/>
      <c r="BF486" s="87"/>
      <c r="BG486" s="87"/>
      <c r="BH486" s="96">
        <f>AX486-AL486</f>
        <v>-526.0135135135135</v>
      </c>
      <c r="BI486" s="97"/>
      <c r="BJ486" s="97"/>
      <c r="BK486" s="97"/>
      <c r="BL486" s="97"/>
      <c r="BM486" s="97"/>
      <c r="BN486" s="97"/>
      <c r="BO486" s="97"/>
      <c r="BP486" s="97"/>
      <c r="BQ486" s="97"/>
      <c r="BR486" s="98"/>
    </row>
    <row r="487" spans="1:70" s="2" customFormat="1" ht="27" customHeight="1">
      <c r="A487" s="89" t="s">
        <v>315</v>
      </c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  <c r="BF487" s="90"/>
      <c r="BG487" s="90"/>
      <c r="BH487" s="90"/>
      <c r="BI487" s="90"/>
      <c r="BJ487" s="90"/>
      <c r="BK487" s="90"/>
      <c r="BL487" s="90"/>
      <c r="BM487" s="90"/>
      <c r="BN487" s="90"/>
      <c r="BO487" s="90"/>
      <c r="BP487" s="90"/>
      <c r="BQ487" s="91"/>
      <c r="BR487" s="11"/>
    </row>
    <row r="488" spans="1:70" s="9" customFormat="1" ht="22.5" customHeight="1">
      <c r="A488" s="99"/>
      <c r="B488" s="100"/>
      <c r="C488" s="101"/>
      <c r="D488" s="101"/>
      <c r="E488" s="101"/>
      <c r="F488" s="101"/>
      <c r="G488" s="101"/>
      <c r="H488" s="101"/>
      <c r="I488" s="81" t="s">
        <v>316</v>
      </c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3"/>
      <c r="BR488" s="22"/>
    </row>
    <row r="489" spans="1:70" s="1" customFormat="1" ht="20.25" customHeight="1">
      <c r="A489" s="32">
        <v>1</v>
      </c>
      <c r="B489" s="32"/>
      <c r="C489" s="33"/>
      <c r="D489" s="34"/>
      <c r="E489" s="34"/>
      <c r="F489" s="34"/>
      <c r="G489" s="34"/>
      <c r="H489" s="35"/>
      <c r="I489" s="95" t="s">
        <v>50</v>
      </c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21"/>
    </row>
    <row r="490" spans="1:70" s="2" customFormat="1" ht="84" customHeight="1">
      <c r="A490" s="40" t="s">
        <v>44</v>
      </c>
      <c r="B490" s="41"/>
      <c r="C490" s="42"/>
      <c r="D490" s="42"/>
      <c r="E490" s="42"/>
      <c r="F490" s="42"/>
      <c r="G490" s="42"/>
      <c r="H490" s="42"/>
      <c r="I490" s="28" t="s">
        <v>317</v>
      </c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30"/>
      <c r="X490" s="43" t="s">
        <v>32</v>
      </c>
      <c r="Y490" s="43"/>
      <c r="Z490" s="43"/>
      <c r="AA490" s="39" t="s">
        <v>312</v>
      </c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7">
        <v>8</v>
      </c>
      <c r="AN490" s="37"/>
      <c r="AO490" s="37"/>
      <c r="AP490" s="37"/>
      <c r="AQ490" s="37"/>
      <c r="AR490" s="37"/>
      <c r="AS490" s="37"/>
      <c r="AT490" s="37"/>
      <c r="AU490" s="37"/>
      <c r="AV490" s="37"/>
      <c r="AW490" s="38"/>
      <c r="AX490" s="31">
        <v>8</v>
      </c>
      <c r="AY490" s="31"/>
      <c r="AZ490" s="31"/>
      <c r="BA490" s="31"/>
      <c r="BB490" s="31"/>
      <c r="BC490" s="31"/>
      <c r="BD490" s="31"/>
      <c r="BE490" s="31"/>
      <c r="BF490" s="31"/>
      <c r="BG490" s="31"/>
      <c r="BH490" s="102">
        <f>AX490-AM490</f>
        <v>0</v>
      </c>
      <c r="BI490" s="37"/>
      <c r="BJ490" s="37"/>
      <c r="BK490" s="37"/>
      <c r="BL490" s="37"/>
      <c r="BM490" s="37"/>
      <c r="BN490" s="37"/>
      <c r="BO490" s="37"/>
      <c r="BP490" s="37"/>
      <c r="BQ490" s="37"/>
      <c r="BR490" s="38"/>
    </row>
    <row r="491" spans="1:70" s="2" customFormat="1" ht="30" customHeight="1">
      <c r="A491" s="40" t="s">
        <v>45</v>
      </c>
      <c r="B491" s="41"/>
      <c r="C491" s="42"/>
      <c r="D491" s="42"/>
      <c r="E491" s="42"/>
      <c r="F491" s="42"/>
      <c r="G491" s="42"/>
      <c r="H491" s="42"/>
      <c r="I491" s="28" t="s">
        <v>75</v>
      </c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30"/>
      <c r="X491" s="43" t="s">
        <v>32</v>
      </c>
      <c r="Y491" s="43"/>
      <c r="Z491" s="43"/>
      <c r="AA491" s="39" t="s">
        <v>296</v>
      </c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7">
        <v>7020</v>
      </c>
      <c r="AN491" s="37"/>
      <c r="AO491" s="37"/>
      <c r="AP491" s="37"/>
      <c r="AQ491" s="37"/>
      <c r="AR491" s="37"/>
      <c r="AS491" s="37"/>
      <c r="AT491" s="37"/>
      <c r="AU491" s="37"/>
      <c r="AV491" s="37"/>
      <c r="AW491" s="38"/>
      <c r="AX491" s="31">
        <v>7020</v>
      </c>
      <c r="AY491" s="31"/>
      <c r="AZ491" s="31"/>
      <c r="BA491" s="31"/>
      <c r="BB491" s="31"/>
      <c r="BC491" s="31"/>
      <c r="BD491" s="31"/>
      <c r="BE491" s="31"/>
      <c r="BF491" s="31"/>
      <c r="BG491" s="31"/>
      <c r="BH491" s="102">
        <f>AX491-AM491</f>
        <v>0</v>
      </c>
      <c r="BI491" s="37"/>
      <c r="BJ491" s="37"/>
      <c r="BK491" s="37"/>
      <c r="BL491" s="37"/>
      <c r="BM491" s="37"/>
      <c r="BN491" s="37"/>
      <c r="BO491" s="37"/>
      <c r="BP491" s="37"/>
      <c r="BQ491" s="37"/>
      <c r="BR491" s="38"/>
    </row>
    <row r="492" spans="1:70" s="1" customFormat="1" ht="18" customHeight="1">
      <c r="A492" s="32">
        <v>2</v>
      </c>
      <c r="B492" s="32"/>
      <c r="C492" s="92"/>
      <c r="D492" s="92"/>
      <c r="E492" s="92"/>
      <c r="F492" s="92"/>
      <c r="G492" s="92"/>
      <c r="H492" s="92"/>
      <c r="I492" s="93" t="s">
        <v>40</v>
      </c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3"/>
      <c r="BN492" s="93"/>
      <c r="BO492" s="93"/>
      <c r="BP492" s="93"/>
      <c r="BQ492" s="94"/>
      <c r="BR492" s="21"/>
    </row>
    <row r="493" spans="1:70" s="1" customFormat="1" ht="82.5" customHeight="1">
      <c r="A493" s="79" t="s">
        <v>46</v>
      </c>
      <c r="B493" s="80"/>
      <c r="C493" s="42"/>
      <c r="D493" s="42"/>
      <c r="E493" s="42"/>
      <c r="F493" s="42"/>
      <c r="G493" s="42"/>
      <c r="H493" s="42"/>
      <c r="I493" s="28" t="s">
        <v>318</v>
      </c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30"/>
      <c r="X493" s="43" t="s">
        <v>27</v>
      </c>
      <c r="Y493" s="43"/>
      <c r="Z493" s="43"/>
      <c r="AA493" s="39" t="s">
        <v>380</v>
      </c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87">
        <v>13</v>
      </c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>
        <v>13</v>
      </c>
      <c r="AY493" s="87"/>
      <c r="AZ493" s="87"/>
      <c r="BA493" s="87"/>
      <c r="BB493" s="87"/>
      <c r="BC493" s="87"/>
      <c r="BD493" s="87"/>
      <c r="BE493" s="87"/>
      <c r="BF493" s="87"/>
      <c r="BG493" s="87"/>
      <c r="BH493" s="96">
        <f>AX493-AL493</f>
        <v>0</v>
      </c>
      <c r="BI493" s="97"/>
      <c r="BJ493" s="97"/>
      <c r="BK493" s="97"/>
      <c r="BL493" s="97"/>
      <c r="BM493" s="97"/>
      <c r="BN493" s="97"/>
      <c r="BO493" s="97"/>
      <c r="BP493" s="97"/>
      <c r="BQ493" s="97"/>
      <c r="BR493" s="98"/>
    </row>
    <row r="494" spans="1:70" s="1" customFormat="1" ht="14.25" customHeight="1">
      <c r="A494" s="32">
        <v>3</v>
      </c>
      <c r="B494" s="32"/>
      <c r="C494" s="92"/>
      <c r="D494" s="92"/>
      <c r="E494" s="92"/>
      <c r="F494" s="92"/>
      <c r="G494" s="92"/>
      <c r="H494" s="92"/>
      <c r="I494" s="93" t="s">
        <v>41</v>
      </c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93"/>
      <c r="BH494" s="93"/>
      <c r="BI494" s="93"/>
      <c r="BJ494" s="93"/>
      <c r="BK494" s="93"/>
      <c r="BL494" s="93"/>
      <c r="BM494" s="93"/>
      <c r="BN494" s="93"/>
      <c r="BO494" s="93"/>
      <c r="BP494" s="93"/>
      <c r="BQ494" s="94"/>
      <c r="BR494" s="21"/>
    </row>
    <row r="495" spans="1:70" s="2" customFormat="1" ht="54" customHeight="1">
      <c r="A495" s="88" t="s">
        <v>47</v>
      </c>
      <c r="B495" s="88"/>
      <c r="C495" s="42"/>
      <c r="D495" s="42"/>
      <c r="E495" s="42"/>
      <c r="F495" s="42"/>
      <c r="G495" s="42"/>
      <c r="H495" s="42"/>
      <c r="I495" s="28" t="s">
        <v>319</v>
      </c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30"/>
      <c r="X495" s="43" t="s">
        <v>32</v>
      </c>
      <c r="Y495" s="43"/>
      <c r="Z495" s="43"/>
      <c r="AA495" s="43" t="s">
        <v>43</v>
      </c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87">
        <f>AM491/AL493</f>
        <v>540</v>
      </c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>
        <f>AX491/AX493</f>
        <v>540</v>
      </c>
      <c r="AY495" s="87"/>
      <c r="AZ495" s="87"/>
      <c r="BA495" s="87"/>
      <c r="BB495" s="87"/>
      <c r="BC495" s="87"/>
      <c r="BD495" s="87"/>
      <c r="BE495" s="87"/>
      <c r="BF495" s="87"/>
      <c r="BG495" s="87"/>
      <c r="BH495" s="96">
        <f>AX495-AL495</f>
        <v>0</v>
      </c>
      <c r="BI495" s="97"/>
      <c r="BJ495" s="97"/>
      <c r="BK495" s="97"/>
      <c r="BL495" s="97"/>
      <c r="BM495" s="97"/>
      <c r="BN495" s="97"/>
      <c r="BO495" s="97"/>
      <c r="BP495" s="97"/>
      <c r="BQ495" s="97"/>
      <c r="BR495" s="98"/>
    </row>
    <row r="496" spans="1:70" s="9" customFormat="1" ht="22.5" customHeight="1">
      <c r="A496" s="99"/>
      <c r="B496" s="100"/>
      <c r="C496" s="101"/>
      <c r="D496" s="101"/>
      <c r="E496" s="101"/>
      <c r="F496" s="101"/>
      <c r="G496" s="101"/>
      <c r="H496" s="101"/>
      <c r="I496" s="81" t="s">
        <v>320</v>
      </c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3"/>
      <c r="BR496" s="22"/>
    </row>
    <row r="497" spans="1:70" s="1" customFormat="1" ht="20.25" customHeight="1">
      <c r="A497" s="32">
        <v>1</v>
      </c>
      <c r="B497" s="32"/>
      <c r="C497" s="33"/>
      <c r="D497" s="34"/>
      <c r="E497" s="34"/>
      <c r="F497" s="34"/>
      <c r="G497" s="34"/>
      <c r="H497" s="35"/>
      <c r="I497" s="95" t="s">
        <v>50</v>
      </c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21"/>
    </row>
    <row r="498" spans="1:70" s="2" customFormat="1" ht="84" customHeight="1">
      <c r="A498" s="40" t="s">
        <v>44</v>
      </c>
      <c r="B498" s="41"/>
      <c r="C498" s="42"/>
      <c r="D498" s="42"/>
      <c r="E498" s="42"/>
      <c r="F498" s="42"/>
      <c r="G498" s="42"/>
      <c r="H498" s="42"/>
      <c r="I498" s="28" t="s">
        <v>321</v>
      </c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30"/>
      <c r="X498" s="43" t="s">
        <v>32</v>
      </c>
      <c r="Y498" s="43"/>
      <c r="Z498" s="43"/>
      <c r="AA498" s="39" t="s">
        <v>312</v>
      </c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7">
        <v>6</v>
      </c>
      <c r="AN498" s="37"/>
      <c r="AO498" s="37"/>
      <c r="AP498" s="37"/>
      <c r="AQ498" s="37"/>
      <c r="AR498" s="37"/>
      <c r="AS498" s="37"/>
      <c r="AT498" s="37"/>
      <c r="AU498" s="37"/>
      <c r="AV498" s="37"/>
      <c r="AW498" s="38"/>
      <c r="AX498" s="31">
        <v>6</v>
      </c>
      <c r="AY498" s="31"/>
      <c r="AZ498" s="31"/>
      <c r="BA498" s="31"/>
      <c r="BB498" s="31"/>
      <c r="BC498" s="31"/>
      <c r="BD498" s="31"/>
      <c r="BE498" s="31"/>
      <c r="BF498" s="31"/>
      <c r="BG498" s="31"/>
      <c r="BH498" s="102">
        <f>AX498-AM498</f>
        <v>0</v>
      </c>
      <c r="BI498" s="37"/>
      <c r="BJ498" s="37"/>
      <c r="BK498" s="37"/>
      <c r="BL498" s="37"/>
      <c r="BM498" s="37"/>
      <c r="BN498" s="37"/>
      <c r="BO498" s="37"/>
      <c r="BP498" s="37"/>
      <c r="BQ498" s="37"/>
      <c r="BR498" s="38"/>
    </row>
    <row r="499" spans="1:70" s="2" customFormat="1" ht="30" customHeight="1">
      <c r="A499" s="40" t="s">
        <v>45</v>
      </c>
      <c r="B499" s="41"/>
      <c r="C499" s="42"/>
      <c r="D499" s="42"/>
      <c r="E499" s="42"/>
      <c r="F499" s="42"/>
      <c r="G499" s="42"/>
      <c r="H499" s="42"/>
      <c r="I499" s="28" t="s">
        <v>75</v>
      </c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30"/>
      <c r="X499" s="43" t="s">
        <v>32</v>
      </c>
      <c r="Y499" s="43"/>
      <c r="Z499" s="43"/>
      <c r="AA499" s="39" t="s">
        <v>296</v>
      </c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7">
        <v>2009</v>
      </c>
      <c r="AN499" s="37"/>
      <c r="AO499" s="37"/>
      <c r="AP499" s="37"/>
      <c r="AQ499" s="37"/>
      <c r="AR499" s="37"/>
      <c r="AS499" s="37"/>
      <c r="AT499" s="37"/>
      <c r="AU499" s="37"/>
      <c r="AV499" s="37"/>
      <c r="AW499" s="38"/>
      <c r="AX499" s="31">
        <f>2004.5</f>
        <v>2004.5</v>
      </c>
      <c r="AY499" s="31"/>
      <c r="AZ499" s="31"/>
      <c r="BA499" s="31"/>
      <c r="BB499" s="31"/>
      <c r="BC499" s="31"/>
      <c r="BD499" s="31"/>
      <c r="BE499" s="31"/>
      <c r="BF499" s="31"/>
      <c r="BG499" s="31"/>
      <c r="BH499" s="102">
        <f>AX499-AM499</f>
        <v>-4.5</v>
      </c>
      <c r="BI499" s="37"/>
      <c r="BJ499" s="37"/>
      <c r="BK499" s="37"/>
      <c r="BL499" s="37"/>
      <c r="BM499" s="37"/>
      <c r="BN499" s="37"/>
      <c r="BO499" s="37"/>
      <c r="BP499" s="37"/>
      <c r="BQ499" s="37"/>
      <c r="BR499" s="38"/>
    </row>
    <row r="500" spans="1:70" s="2" customFormat="1" ht="21" customHeight="1">
      <c r="A500" s="89" t="s">
        <v>322</v>
      </c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0"/>
      <c r="BF500" s="90"/>
      <c r="BG500" s="90"/>
      <c r="BH500" s="90"/>
      <c r="BI500" s="90"/>
      <c r="BJ500" s="90"/>
      <c r="BK500" s="90"/>
      <c r="BL500" s="90"/>
      <c r="BM500" s="90"/>
      <c r="BN500" s="90"/>
      <c r="BO500" s="90"/>
      <c r="BP500" s="90"/>
      <c r="BQ500" s="91"/>
      <c r="BR500" s="11"/>
    </row>
    <row r="501" spans="1:70" s="1" customFormat="1" ht="18" customHeight="1">
      <c r="A501" s="32">
        <v>2</v>
      </c>
      <c r="B501" s="32"/>
      <c r="C501" s="92"/>
      <c r="D501" s="92"/>
      <c r="E501" s="92"/>
      <c r="F501" s="92"/>
      <c r="G501" s="92"/>
      <c r="H501" s="92"/>
      <c r="I501" s="93" t="s">
        <v>40</v>
      </c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  <c r="BE501" s="93"/>
      <c r="BF501" s="93"/>
      <c r="BG501" s="93"/>
      <c r="BH501" s="93"/>
      <c r="BI501" s="93"/>
      <c r="BJ501" s="93"/>
      <c r="BK501" s="93"/>
      <c r="BL501" s="93"/>
      <c r="BM501" s="93"/>
      <c r="BN501" s="93"/>
      <c r="BO501" s="93"/>
      <c r="BP501" s="93"/>
      <c r="BQ501" s="94"/>
      <c r="BR501" s="21"/>
    </row>
    <row r="502" spans="1:70" s="1" customFormat="1" ht="89.25" customHeight="1">
      <c r="A502" s="79" t="s">
        <v>46</v>
      </c>
      <c r="B502" s="80"/>
      <c r="C502" s="42"/>
      <c r="D502" s="42"/>
      <c r="E502" s="42"/>
      <c r="F502" s="42"/>
      <c r="G502" s="42"/>
      <c r="H502" s="42"/>
      <c r="I502" s="28" t="s">
        <v>323</v>
      </c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30"/>
      <c r="X502" s="43" t="s">
        <v>27</v>
      </c>
      <c r="Y502" s="43"/>
      <c r="Z502" s="43"/>
      <c r="AA502" s="39" t="s">
        <v>380</v>
      </c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87">
        <v>67</v>
      </c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>
        <v>300</v>
      </c>
      <c r="AY502" s="87"/>
      <c r="AZ502" s="87"/>
      <c r="BA502" s="87"/>
      <c r="BB502" s="87"/>
      <c r="BC502" s="87"/>
      <c r="BD502" s="87"/>
      <c r="BE502" s="87"/>
      <c r="BF502" s="87"/>
      <c r="BG502" s="87"/>
      <c r="BH502" s="96">
        <f>AX502-AL502</f>
        <v>233</v>
      </c>
      <c r="BI502" s="97"/>
      <c r="BJ502" s="97"/>
      <c r="BK502" s="97"/>
      <c r="BL502" s="97"/>
      <c r="BM502" s="97"/>
      <c r="BN502" s="97"/>
      <c r="BO502" s="97"/>
      <c r="BP502" s="97"/>
      <c r="BQ502" s="97"/>
      <c r="BR502" s="98"/>
    </row>
    <row r="503" spans="1:70" s="2" customFormat="1" ht="22.5" customHeight="1">
      <c r="A503" s="89" t="s">
        <v>325</v>
      </c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  <c r="BB503" s="90"/>
      <c r="BC503" s="90"/>
      <c r="BD503" s="90"/>
      <c r="BE503" s="90"/>
      <c r="BF503" s="90"/>
      <c r="BG503" s="90"/>
      <c r="BH503" s="90"/>
      <c r="BI503" s="90"/>
      <c r="BJ503" s="90"/>
      <c r="BK503" s="90"/>
      <c r="BL503" s="90"/>
      <c r="BM503" s="90"/>
      <c r="BN503" s="90"/>
      <c r="BO503" s="90"/>
      <c r="BP503" s="90"/>
      <c r="BQ503" s="91"/>
      <c r="BR503" s="11"/>
    </row>
    <row r="504" spans="1:70" s="1" customFormat="1" ht="14.25" customHeight="1">
      <c r="A504" s="32">
        <v>3</v>
      </c>
      <c r="B504" s="32"/>
      <c r="C504" s="92"/>
      <c r="D504" s="92"/>
      <c r="E504" s="92"/>
      <c r="F504" s="92"/>
      <c r="G504" s="92"/>
      <c r="H504" s="92"/>
      <c r="I504" s="93" t="s">
        <v>41</v>
      </c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93"/>
      <c r="AV504" s="93"/>
      <c r="AW504" s="93"/>
      <c r="AX504" s="93"/>
      <c r="AY504" s="93"/>
      <c r="AZ504" s="93"/>
      <c r="BA504" s="93"/>
      <c r="BB504" s="93"/>
      <c r="BC504" s="93"/>
      <c r="BD504" s="93"/>
      <c r="BE504" s="93"/>
      <c r="BF504" s="93"/>
      <c r="BG504" s="93"/>
      <c r="BH504" s="93"/>
      <c r="BI504" s="93"/>
      <c r="BJ504" s="93"/>
      <c r="BK504" s="93"/>
      <c r="BL504" s="93"/>
      <c r="BM504" s="93"/>
      <c r="BN504" s="93"/>
      <c r="BO504" s="93"/>
      <c r="BP504" s="93"/>
      <c r="BQ504" s="94"/>
      <c r="BR504" s="21"/>
    </row>
    <row r="505" spans="1:70" s="2" customFormat="1" ht="54" customHeight="1">
      <c r="A505" s="88" t="s">
        <v>47</v>
      </c>
      <c r="B505" s="88"/>
      <c r="C505" s="42"/>
      <c r="D505" s="42"/>
      <c r="E505" s="42"/>
      <c r="F505" s="42"/>
      <c r="G505" s="42"/>
      <c r="H505" s="42"/>
      <c r="I505" s="28" t="s">
        <v>324</v>
      </c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30"/>
      <c r="X505" s="43" t="s">
        <v>32</v>
      </c>
      <c r="Y505" s="43"/>
      <c r="Z505" s="43"/>
      <c r="AA505" s="43" t="s">
        <v>43</v>
      </c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87">
        <f>AM499/AL502</f>
        <v>29.98507462686567</v>
      </c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>
        <f>AX499/AX502</f>
        <v>6.681666666666667</v>
      </c>
      <c r="AY505" s="87"/>
      <c r="AZ505" s="87"/>
      <c r="BA505" s="87"/>
      <c r="BB505" s="87"/>
      <c r="BC505" s="87"/>
      <c r="BD505" s="87"/>
      <c r="BE505" s="87"/>
      <c r="BF505" s="87"/>
      <c r="BG505" s="87"/>
      <c r="BH505" s="96">
        <f>AX505-AL505</f>
        <v>-23.303407960199003</v>
      </c>
      <c r="BI505" s="97"/>
      <c r="BJ505" s="97"/>
      <c r="BK505" s="97"/>
      <c r="BL505" s="97"/>
      <c r="BM505" s="97"/>
      <c r="BN505" s="97"/>
      <c r="BO505" s="97"/>
      <c r="BP505" s="97"/>
      <c r="BQ505" s="97"/>
      <c r="BR505" s="98"/>
    </row>
    <row r="506" spans="1:70" s="2" customFormat="1" ht="24" customHeight="1">
      <c r="A506" s="89" t="s">
        <v>326</v>
      </c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  <c r="BB506" s="90"/>
      <c r="BC506" s="90"/>
      <c r="BD506" s="90"/>
      <c r="BE506" s="90"/>
      <c r="BF506" s="90"/>
      <c r="BG506" s="90"/>
      <c r="BH506" s="90"/>
      <c r="BI506" s="90"/>
      <c r="BJ506" s="90"/>
      <c r="BK506" s="90"/>
      <c r="BL506" s="90"/>
      <c r="BM506" s="90"/>
      <c r="BN506" s="90"/>
      <c r="BO506" s="90"/>
      <c r="BP506" s="90"/>
      <c r="BQ506" s="91"/>
      <c r="BR506" s="11"/>
    </row>
    <row r="507" spans="1:70" s="9" customFormat="1" ht="39" customHeight="1">
      <c r="A507" s="99"/>
      <c r="B507" s="100"/>
      <c r="C507" s="101"/>
      <c r="D507" s="101"/>
      <c r="E507" s="101"/>
      <c r="F507" s="101"/>
      <c r="G507" s="101"/>
      <c r="H507" s="101"/>
      <c r="I507" s="81" t="s">
        <v>327</v>
      </c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  <c r="BO507" s="82"/>
      <c r="BP507" s="82"/>
      <c r="BQ507" s="83"/>
      <c r="BR507" s="22"/>
    </row>
    <row r="508" spans="1:70" s="9" customFormat="1" ht="30" customHeight="1">
      <c r="A508" s="99"/>
      <c r="B508" s="100"/>
      <c r="C508" s="101"/>
      <c r="D508" s="101"/>
      <c r="E508" s="101"/>
      <c r="F508" s="101"/>
      <c r="G508" s="101"/>
      <c r="H508" s="101"/>
      <c r="I508" s="81" t="s">
        <v>328</v>
      </c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  <c r="BQ508" s="83"/>
      <c r="BR508" s="22"/>
    </row>
    <row r="509" spans="1:70" s="1" customFormat="1" ht="13.5" customHeight="1">
      <c r="A509" s="32">
        <v>1</v>
      </c>
      <c r="B509" s="32"/>
      <c r="C509" s="33"/>
      <c r="D509" s="34"/>
      <c r="E509" s="34"/>
      <c r="F509" s="34"/>
      <c r="G509" s="34"/>
      <c r="H509" s="35"/>
      <c r="I509" s="95" t="s">
        <v>50</v>
      </c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21"/>
    </row>
    <row r="510" spans="1:70" s="2" customFormat="1" ht="84" customHeight="1">
      <c r="A510" s="40" t="s">
        <v>44</v>
      </c>
      <c r="B510" s="41"/>
      <c r="C510" s="42"/>
      <c r="D510" s="42"/>
      <c r="E510" s="42"/>
      <c r="F510" s="42"/>
      <c r="G510" s="42"/>
      <c r="H510" s="42"/>
      <c r="I510" s="28" t="s">
        <v>329</v>
      </c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30"/>
      <c r="X510" s="43" t="s">
        <v>32</v>
      </c>
      <c r="Y510" s="43"/>
      <c r="Z510" s="43"/>
      <c r="AA510" s="39" t="s">
        <v>312</v>
      </c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7">
        <v>50</v>
      </c>
      <c r="AN510" s="37"/>
      <c r="AO510" s="37"/>
      <c r="AP510" s="37"/>
      <c r="AQ510" s="37"/>
      <c r="AR510" s="37"/>
      <c r="AS510" s="37"/>
      <c r="AT510" s="37"/>
      <c r="AU510" s="37"/>
      <c r="AV510" s="37"/>
      <c r="AW510" s="38"/>
      <c r="AX510" s="31">
        <v>50</v>
      </c>
      <c r="AY510" s="31"/>
      <c r="AZ510" s="31"/>
      <c r="BA510" s="31"/>
      <c r="BB510" s="31"/>
      <c r="BC510" s="31"/>
      <c r="BD510" s="31"/>
      <c r="BE510" s="31"/>
      <c r="BF510" s="31"/>
      <c r="BG510" s="31"/>
      <c r="BH510" s="102">
        <f>AX510-AM510</f>
        <v>0</v>
      </c>
      <c r="BI510" s="37"/>
      <c r="BJ510" s="37"/>
      <c r="BK510" s="37"/>
      <c r="BL510" s="37"/>
      <c r="BM510" s="37"/>
      <c r="BN510" s="37"/>
      <c r="BO510" s="37"/>
      <c r="BP510" s="37"/>
      <c r="BQ510" s="37"/>
      <c r="BR510" s="38"/>
    </row>
    <row r="511" spans="1:70" s="2" customFormat="1" ht="20.25" customHeight="1">
      <c r="A511" s="40" t="s">
        <v>45</v>
      </c>
      <c r="B511" s="41"/>
      <c r="C511" s="42"/>
      <c r="D511" s="42"/>
      <c r="E511" s="42"/>
      <c r="F511" s="42"/>
      <c r="G511" s="42"/>
      <c r="H511" s="42"/>
      <c r="I511" s="28" t="s">
        <v>75</v>
      </c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30"/>
      <c r="X511" s="43" t="s">
        <v>32</v>
      </c>
      <c r="Y511" s="43"/>
      <c r="Z511" s="43"/>
      <c r="AA511" s="39" t="s">
        <v>296</v>
      </c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7">
        <v>22500</v>
      </c>
      <c r="AN511" s="37"/>
      <c r="AO511" s="37"/>
      <c r="AP511" s="37"/>
      <c r="AQ511" s="37"/>
      <c r="AR511" s="37"/>
      <c r="AS511" s="37"/>
      <c r="AT511" s="37"/>
      <c r="AU511" s="37"/>
      <c r="AV511" s="37"/>
      <c r="AW511" s="38"/>
      <c r="AX511" s="31">
        <v>22500</v>
      </c>
      <c r="AY511" s="31"/>
      <c r="AZ511" s="31"/>
      <c r="BA511" s="31"/>
      <c r="BB511" s="31"/>
      <c r="BC511" s="31"/>
      <c r="BD511" s="31"/>
      <c r="BE511" s="31"/>
      <c r="BF511" s="31"/>
      <c r="BG511" s="31"/>
      <c r="BH511" s="102">
        <f>AX511-AM511</f>
        <v>0</v>
      </c>
      <c r="BI511" s="37"/>
      <c r="BJ511" s="37"/>
      <c r="BK511" s="37"/>
      <c r="BL511" s="37"/>
      <c r="BM511" s="37"/>
      <c r="BN511" s="37"/>
      <c r="BO511" s="37"/>
      <c r="BP511" s="37"/>
      <c r="BQ511" s="37"/>
      <c r="BR511" s="38"/>
    </row>
    <row r="512" spans="1:70" s="1" customFormat="1" ht="18" customHeight="1">
      <c r="A512" s="32">
        <v>2</v>
      </c>
      <c r="B512" s="32"/>
      <c r="C512" s="92"/>
      <c r="D512" s="92"/>
      <c r="E512" s="92"/>
      <c r="F512" s="92"/>
      <c r="G512" s="92"/>
      <c r="H512" s="92"/>
      <c r="I512" s="93" t="s">
        <v>40</v>
      </c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  <c r="BE512" s="93"/>
      <c r="BF512" s="93"/>
      <c r="BG512" s="93"/>
      <c r="BH512" s="93"/>
      <c r="BI512" s="93"/>
      <c r="BJ512" s="93"/>
      <c r="BK512" s="93"/>
      <c r="BL512" s="93"/>
      <c r="BM512" s="93"/>
      <c r="BN512" s="93"/>
      <c r="BO512" s="93"/>
      <c r="BP512" s="93"/>
      <c r="BQ512" s="94"/>
      <c r="BR512" s="21"/>
    </row>
    <row r="513" spans="1:70" s="1" customFormat="1" ht="81" customHeight="1">
      <c r="A513" s="79" t="s">
        <v>46</v>
      </c>
      <c r="B513" s="80"/>
      <c r="C513" s="42"/>
      <c r="D513" s="42"/>
      <c r="E513" s="42"/>
      <c r="F513" s="42"/>
      <c r="G513" s="42"/>
      <c r="H513" s="42"/>
      <c r="I513" s="28" t="s">
        <v>330</v>
      </c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30"/>
      <c r="X513" s="43" t="s">
        <v>27</v>
      </c>
      <c r="Y513" s="43"/>
      <c r="Z513" s="43"/>
      <c r="AA513" s="39" t="s">
        <v>380</v>
      </c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87">
        <v>50</v>
      </c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>
        <v>50</v>
      </c>
      <c r="AY513" s="87"/>
      <c r="AZ513" s="87"/>
      <c r="BA513" s="87"/>
      <c r="BB513" s="87"/>
      <c r="BC513" s="87"/>
      <c r="BD513" s="87"/>
      <c r="BE513" s="87"/>
      <c r="BF513" s="87"/>
      <c r="BG513" s="87"/>
      <c r="BH513" s="96">
        <f>AX513-AL513</f>
        <v>0</v>
      </c>
      <c r="BI513" s="97"/>
      <c r="BJ513" s="97"/>
      <c r="BK513" s="97"/>
      <c r="BL513" s="97"/>
      <c r="BM513" s="97"/>
      <c r="BN513" s="97"/>
      <c r="BO513" s="97"/>
      <c r="BP513" s="97"/>
      <c r="BQ513" s="97"/>
      <c r="BR513" s="98"/>
    </row>
    <row r="514" spans="1:70" s="1" customFormat="1" ht="14.25" customHeight="1">
      <c r="A514" s="32">
        <v>3</v>
      </c>
      <c r="B514" s="32"/>
      <c r="C514" s="92"/>
      <c r="D514" s="92"/>
      <c r="E514" s="92"/>
      <c r="F514" s="92"/>
      <c r="G514" s="92"/>
      <c r="H514" s="92"/>
      <c r="I514" s="93" t="s">
        <v>41</v>
      </c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3"/>
      <c r="BG514" s="93"/>
      <c r="BH514" s="93"/>
      <c r="BI514" s="93"/>
      <c r="BJ514" s="93"/>
      <c r="BK514" s="93"/>
      <c r="BL514" s="93"/>
      <c r="BM514" s="93"/>
      <c r="BN514" s="93"/>
      <c r="BO514" s="93"/>
      <c r="BP514" s="93"/>
      <c r="BQ514" s="94"/>
      <c r="BR514" s="21"/>
    </row>
    <row r="515" spans="1:70" s="2" customFormat="1" ht="54" customHeight="1">
      <c r="A515" s="88" t="s">
        <v>47</v>
      </c>
      <c r="B515" s="88"/>
      <c r="C515" s="42"/>
      <c r="D515" s="42"/>
      <c r="E515" s="42"/>
      <c r="F515" s="42"/>
      <c r="G515" s="42"/>
      <c r="H515" s="42"/>
      <c r="I515" s="28" t="s">
        <v>331</v>
      </c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30"/>
      <c r="X515" s="43" t="s">
        <v>32</v>
      </c>
      <c r="Y515" s="43"/>
      <c r="Z515" s="43"/>
      <c r="AA515" s="43" t="s">
        <v>43</v>
      </c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87">
        <f>AM511/AL513</f>
        <v>450</v>
      </c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>
        <f>AX511/AX513</f>
        <v>450</v>
      </c>
      <c r="AY515" s="87"/>
      <c r="AZ515" s="87"/>
      <c r="BA515" s="87"/>
      <c r="BB515" s="87"/>
      <c r="BC515" s="87"/>
      <c r="BD515" s="87"/>
      <c r="BE515" s="87"/>
      <c r="BF515" s="87"/>
      <c r="BG515" s="87"/>
      <c r="BH515" s="96">
        <f>AX515-AL515</f>
        <v>0</v>
      </c>
      <c r="BI515" s="97"/>
      <c r="BJ515" s="97"/>
      <c r="BK515" s="97"/>
      <c r="BL515" s="97"/>
      <c r="BM515" s="97"/>
      <c r="BN515" s="97"/>
      <c r="BO515" s="97"/>
      <c r="BP515" s="97"/>
      <c r="BQ515" s="97"/>
      <c r="BR515" s="98"/>
    </row>
    <row r="516" spans="1:70" s="10" customFormat="1" ht="30" customHeight="1">
      <c r="A516" s="84"/>
      <c r="B516" s="85"/>
      <c r="C516" s="86"/>
      <c r="D516" s="86"/>
      <c r="E516" s="86"/>
      <c r="F516" s="86"/>
      <c r="G516" s="86"/>
      <c r="H516" s="86"/>
      <c r="I516" s="81" t="s">
        <v>332</v>
      </c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3"/>
      <c r="BR516" s="12"/>
    </row>
    <row r="517" spans="1:70" s="1" customFormat="1" ht="13.5" customHeight="1">
      <c r="A517" s="32">
        <v>1</v>
      </c>
      <c r="B517" s="32"/>
      <c r="C517" s="33"/>
      <c r="D517" s="34"/>
      <c r="E517" s="34"/>
      <c r="F517" s="34"/>
      <c r="G517" s="34"/>
      <c r="H517" s="35"/>
      <c r="I517" s="95" t="s">
        <v>50</v>
      </c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21"/>
    </row>
    <row r="518" spans="1:70" s="2" customFormat="1" ht="84" customHeight="1">
      <c r="A518" s="40" t="s">
        <v>44</v>
      </c>
      <c r="B518" s="41"/>
      <c r="C518" s="42"/>
      <c r="D518" s="42"/>
      <c r="E518" s="42"/>
      <c r="F518" s="42"/>
      <c r="G518" s="42"/>
      <c r="H518" s="42"/>
      <c r="I518" s="28" t="s">
        <v>334</v>
      </c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30"/>
      <c r="X518" s="43" t="s">
        <v>32</v>
      </c>
      <c r="Y518" s="43"/>
      <c r="Z518" s="43"/>
      <c r="AA518" s="39" t="s">
        <v>312</v>
      </c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7">
        <v>500</v>
      </c>
      <c r="AN518" s="37"/>
      <c r="AO518" s="37"/>
      <c r="AP518" s="37"/>
      <c r="AQ518" s="37"/>
      <c r="AR518" s="37"/>
      <c r="AS518" s="37"/>
      <c r="AT518" s="37"/>
      <c r="AU518" s="37"/>
      <c r="AV518" s="37"/>
      <c r="AW518" s="38"/>
      <c r="AX518" s="31">
        <f>686+95</f>
        <v>781</v>
      </c>
      <c r="AY518" s="31"/>
      <c r="AZ518" s="31"/>
      <c r="BA518" s="31"/>
      <c r="BB518" s="31"/>
      <c r="BC518" s="31"/>
      <c r="BD518" s="31"/>
      <c r="BE518" s="31"/>
      <c r="BF518" s="31"/>
      <c r="BG518" s="31"/>
      <c r="BH518" s="102">
        <f>AX518-AM518</f>
        <v>281</v>
      </c>
      <c r="BI518" s="37"/>
      <c r="BJ518" s="37"/>
      <c r="BK518" s="37"/>
      <c r="BL518" s="37"/>
      <c r="BM518" s="37"/>
      <c r="BN518" s="37"/>
      <c r="BO518" s="37"/>
      <c r="BP518" s="37"/>
      <c r="BQ518" s="37"/>
      <c r="BR518" s="38"/>
    </row>
    <row r="519" spans="1:70" s="2" customFormat="1" ht="30" customHeight="1">
      <c r="A519" s="40" t="s">
        <v>45</v>
      </c>
      <c r="B519" s="41"/>
      <c r="C519" s="42"/>
      <c r="D519" s="42"/>
      <c r="E519" s="42"/>
      <c r="F519" s="42"/>
      <c r="G519" s="42"/>
      <c r="H519" s="42"/>
      <c r="I519" s="28" t="s">
        <v>75</v>
      </c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30"/>
      <c r="X519" s="43" t="s">
        <v>32</v>
      </c>
      <c r="Y519" s="43"/>
      <c r="Z519" s="43"/>
      <c r="AA519" s="39" t="s">
        <v>296</v>
      </c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7">
        <v>25190</v>
      </c>
      <c r="AN519" s="37"/>
      <c r="AO519" s="37"/>
      <c r="AP519" s="37"/>
      <c r="AQ519" s="37"/>
      <c r="AR519" s="37"/>
      <c r="AS519" s="37"/>
      <c r="AT519" s="37"/>
      <c r="AU519" s="37"/>
      <c r="AV519" s="37"/>
      <c r="AW519" s="38"/>
      <c r="AX519" s="31">
        <v>25180</v>
      </c>
      <c r="AY519" s="31"/>
      <c r="AZ519" s="31"/>
      <c r="BA519" s="31"/>
      <c r="BB519" s="31"/>
      <c r="BC519" s="31"/>
      <c r="BD519" s="31"/>
      <c r="BE519" s="31"/>
      <c r="BF519" s="31"/>
      <c r="BG519" s="31"/>
      <c r="BH519" s="102">
        <f>AX519-AM519</f>
        <v>-10</v>
      </c>
      <c r="BI519" s="37"/>
      <c r="BJ519" s="37"/>
      <c r="BK519" s="37"/>
      <c r="BL519" s="37"/>
      <c r="BM519" s="37"/>
      <c r="BN519" s="37"/>
      <c r="BO519" s="37"/>
      <c r="BP519" s="37"/>
      <c r="BQ519" s="37"/>
      <c r="BR519" s="38"/>
    </row>
    <row r="520" spans="1:70" s="2" customFormat="1" ht="28.5" customHeight="1">
      <c r="A520" s="89" t="s">
        <v>322</v>
      </c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90"/>
      <c r="BC520" s="90"/>
      <c r="BD520" s="90"/>
      <c r="BE520" s="90"/>
      <c r="BF520" s="90"/>
      <c r="BG520" s="90"/>
      <c r="BH520" s="90"/>
      <c r="BI520" s="90"/>
      <c r="BJ520" s="90"/>
      <c r="BK520" s="90"/>
      <c r="BL520" s="90"/>
      <c r="BM520" s="90"/>
      <c r="BN520" s="90"/>
      <c r="BO520" s="90"/>
      <c r="BP520" s="90"/>
      <c r="BQ520" s="91"/>
      <c r="BR520" s="11"/>
    </row>
    <row r="521" spans="1:70" s="1" customFormat="1" ht="10.5" customHeight="1">
      <c r="A521" s="32">
        <v>2</v>
      </c>
      <c r="B521" s="32"/>
      <c r="C521" s="92"/>
      <c r="D521" s="92"/>
      <c r="E521" s="92"/>
      <c r="F521" s="92"/>
      <c r="G521" s="92"/>
      <c r="H521" s="92"/>
      <c r="I521" s="93" t="s">
        <v>40</v>
      </c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  <c r="BE521" s="93"/>
      <c r="BF521" s="93"/>
      <c r="BG521" s="93"/>
      <c r="BH521" s="93"/>
      <c r="BI521" s="93"/>
      <c r="BJ521" s="93"/>
      <c r="BK521" s="93"/>
      <c r="BL521" s="93"/>
      <c r="BM521" s="93"/>
      <c r="BN521" s="93"/>
      <c r="BO521" s="93"/>
      <c r="BP521" s="93"/>
      <c r="BQ521" s="94"/>
      <c r="BR521" s="21"/>
    </row>
    <row r="522" spans="1:70" s="1" customFormat="1" ht="87" customHeight="1">
      <c r="A522" s="79" t="s">
        <v>46</v>
      </c>
      <c r="B522" s="80"/>
      <c r="C522" s="42"/>
      <c r="D522" s="42"/>
      <c r="E522" s="42"/>
      <c r="F522" s="42"/>
      <c r="G522" s="42"/>
      <c r="H522" s="42"/>
      <c r="I522" s="28" t="s">
        <v>333</v>
      </c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30"/>
      <c r="X522" s="43" t="s">
        <v>27</v>
      </c>
      <c r="Y522" s="43"/>
      <c r="Z522" s="43"/>
      <c r="AA522" s="39" t="s">
        <v>380</v>
      </c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87">
        <v>500</v>
      </c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31">
        <f>781</f>
        <v>781</v>
      </c>
      <c r="AY522" s="31"/>
      <c r="AZ522" s="31"/>
      <c r="BA522" s="31"/>
      <c r="BB522" s="31"/>
      <c r="BC522" s="31"/>
      <c r="BD522" s="31"/>
      <c r="BE522" s="31"/>
      <c r="BF522" s="31"/>
      <c r="BG522" s="31"/>
      <c r="BH522" s="96">
        <f>AX522-AL522</f>
        <v>281</v>
      </c>
      <c r="BI522" s="97"/>
      <c r="BJ522" s="97"/>
      <c r="BK522" s="97"/>
      <c r="BL522" s="97"/>
      <c r="BM522" s="97"/>
      <c r="BN522" s="97"/>
      <c r="BO522" s="97"/>
      <c r="BP522" s="97"/>
      <c r="BQ522" s="97"/>
      <c r="BR522" s="98"/>
    </row>
    <row r="523" spans="1:70" s="2" customFormat="1" ht="24.75" customHeight="1">
      <c r="A523" s="89" t="s">
        <v>381</v>
      </c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90"/>
      <c r="BC523" s="90"/>
      <c r="BD523" s="90"/>
      <c r="BE523" s="90"/>
      <c r="BF523" s="90"/>
      <c r="BG523" s="90"/>
      <c r="BH523" s="90"/>
      <c r="BI523" s="90"/>
      <c r="BJ523" s="90"/>
      <c r="BK523" s="90"/>
      <c r="BL523" s="90"/>
      <c r="BM523" s="90"/>
      <c r="BN523" s="90"/>
      <c r="BO523" s="90"/>
      <c r="BP523" s="90"/>
      <c r="BQ523" s="91"/>
      <c r="BR523" s="11"/>
    </row>
    <row r="524" spans="1:70" s="1" customFormat="1" ht="14.25" customHeight="1">
      <c r="A524" s="32">
        <v>3</v>
      </c>
      <c r="B524" s="32"/>
      <c r="C524" s="92"/>
      <c r="D524" s="92"/>
      <c r="E524" s="92"/>
      <c r="F524" s="92"/>
      <c r="G524" s="92"/>
      <c r="H524" s="92"/>
      <c r="I524" s="93" t="s">
        <v>41</v>
      </c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  <c r="BE524" s="93"/>
      <c r="BF524" s="93"/>
      <c r="BG524" s="93"/>
      <c r="BH524" s="93"/>
      <c r="BI524" s="93"/>
      <c r="BJ524" s="93"/>
      <c r="BK524" s="93"/>
      <c r="BL524" s="93"/>
      <c r="BM524" s="93"/>
      <c r="BN524" s="93"/>
      <c r="BO524" s="93"/>
      <c r="BP524" s="93"/>
      <c r="BQ524" s="94"/>
      <c r="BR524" s="21"/>
    </row>
    <row r="525" spans="1:70" s="2" customFormat="1" ht="24.75" customHeight="1">
      <c r="A525" s="88" t="s">
        <v>47</v>
      </c>
      <c r="B525" s="88"/>
      <c r="C525" s="42"/>
      <c r="D525" s="42"/>
      <c r="E525" s="42"/>
      <c r="F525" s="42"/>
      <c r="G525" s="42"/>
      <c r="H525" s="42"/>
      <c r="I525" s="28" t="s">
        <v>335</v>
      </c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30"/>
      <c r="X525" s="43" t="s">
        <v>32</v>
      </c>
      <c r="Y525" s="43"/>
      <c r="Z525" s="43"/>
      <c r="AA525" s="43" t="s">
        <v>43</v>
      </c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87">
        <f>AM519/AL522</f>
        <v>50.38</v>
      </c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>
        <f>AX519/AX522</f>
        <v>32.24071702944942</v>
      </c>
      <c r="AY525" s="87"/>
      <c r="AZ525" s="87"/>
      <c r="BA525" s="87"/>
      <c r="BB525" s="87"/>
      <c r="BC525" s="87"/>
      <c r="BD525" s="87"/>
      <c r="BE525" s="87"/>
      <c r="BF525" s="87"/>
      <c r="BG525" s="87"/>
      <c r="BH525" s="96">
        <f>AX525-AL525</f>
        <v>-18.139282970550582</v>
      </c>
      <c r="BI525" s="97"/>
      <c r="BJ525" s="97"/>
      <c r="BK525" s="97"/>
      <c r="BL525" s="97"/>
      <c r="BM525" s="97"/>
      <c r="BN525" s="97"/>
      <c r="BO525" s="97"/>
      <c r="BP525" s="97"/>
      <c r="BQ525" s="97"/>
      <c r="BR525" s="98"/>
    </row>
    <row r="526" spans="1:70" s="9" customFormat="1" ht="21.75" customHeight="1">
      <c r="A526" s="99"/>
      <c r="B526" s="100"/>
      <c r="C526" s="101"/>
      <c r="D526" s="101"/>
      <c r="E526" s="101"/>
      <c r="F526" s="101"/>
      <c r="G526" s="101"/>
      <c r="H526" s="101"/>
      <c r="I526" s="81" t="s">
        <v>336</v>
      </c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  <c r="BN526" s="82"/>
      <c r="BO526" s="82"/>
      <c r="BP526" s="82"/>
      <c r="BQ526" s="83"/>
      <c r="BR526" s="22"/>
    </row>
    <row r="527" spans="1:70" s="14" customFormat="1" ht="13.5" customHeight="1">
      <c r="A527" s="225">
        <v>1</v>
      </c>
      <c r="B527" s="225"/>
      <c r="C527" s="226"/>
      <c r="D527" s="227"/>
      <c r="E527" s="227"/>
      <c r="F527" s="227"/>
      <c r="G527" s="227"/>
      <c r="H527" s="228"/>
      <c r="I527" s="229" t="s">
        <v>50</v>
      </c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  <c r="AJ527" s="229"/>
      <c r="AK527" s="229"/>
      <c r="AL527" s="229"/>
      <c r="AM527" s="229"/>
      <c r="AN527" s="229"/>
      <c r="AO527" s="229"/>
      <c r="AP527" s="229"/>
      <c r="AQ527" s="229"/>
      <c r="AR527" s="229"/>
      <c r="AS527" s="229"/>
      <c r="AT527" s="229"/>
      <c r="AU527" s="229"/>
      <c r="AV527" s="229"/>
      <c r="AW527" s="229"/>
      <c r="AX527" s="229"/>
      <c r="AY527" s="229"/>
      <c r="AZ527" s="229"/>
      <c r="BA527" s="229"/>
      <c r="BB527" s="229"/>
      <c r="BC527" s="229"/>
      <c r="BD527" s="229"/>
      <c r="BE527" s="229"/>
      <c r="BF527" s="229"/>
      <c r="BG527" s="229"/>
      <c r="BH527" s="229"/>
      <c r="BI527" s="229"/>
      <c r="BJ527" s="229"/>
      <c r="BK527" s="229"/>
      <c r="BL527" s="229"/>
      <c r="BM527" s="229"/>
      <c r="BN527" s="229"/>
      <c r="BO527" s="229"/>
      <c r="BP527" s="229"/>
      <c r="BQ527" s="229"/>
      <c r="BR527" s="23"/>
    </row>
    <row r="528" spans="1:70" s="2" customFormat="1" ht="84" customHeight="1">
      <c r="A528" s="40" t="s">
        <v>44</v>
      </c>
      <c r="B528" s="41"/>
      <c r="C528" s="42"/>
      <c r="D528" s="42"/>
      <c r="E528" s="42"/>
      <c r="F528" s="42"/>
      <c r="G528" s="42"/>
      <c r="H528" s="42"/>
      <c r="I528" s="28" t="s">
        <v>337</v>
      </c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30"/>
      <c r="X528" s="43" t="s">
        <v>32</v>
      </c>
      <c r="Y528" s="43"/>
      <c r="Z528" s="43"/>
      <c r="AA528" s="39" t="s">
        <v>312</v>
      </c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7">
        <v>15</v>
      </c>
      <c r="AN528" s="37"/>
      <c r="AO528" s="37"/>
      <c r="AP528" s="37"/>
      <c r="AQ528" s="37"/>
      <c r="AR528" s="37"/>
      <c r="AS528" s="37"/>
      <c r="AT528" s="37"/>
      <c r="AU528" s="37"/>
      <c r="AV528" s="37"/>
      <c r="AW528" s="38"/>
      <c r="AX528" s="31">
        <v>1</v>
      </c>
      <c r="AY528" s="31"/>
      <c r="AZ528" s="31"/>
      <c r="BA528" s="31"/>
      <c r="BB528" s="31"/>
      <c r="BC528" s="31"/>
      <c r="BD528" s="31"/>
      <c r="BE528" s="31"/>
      <c r="BF528" s="31"/>
      <c r="BG528" s="31"/>
      <c r="BH528" s="102">
        <f>AX528-AM528</f>
        <v>-14</v>
      </c>
      <c r="BI528" s="37"/>
      <c r="BJ528" s="37"/>
      <c r="BK528" s="37"/>
      <c r="BL528" s="37"/>
      <c r="BM528" s="37"/>
      <c r="BN528" s="37"/>
      <c r="BO528" s="37"/>
      <c r="BP528" s="37"/>
      <c r="BQ528" s="37"/>
      <c r="BR528" s="38"/>
    </row>
    <row r="529" spans="1:70" s="2" customFormat="1" ht="22.5" customHeight="1">
      <c r="A529" s="65"/>
      <c r="B529" s="66"/>
      <c r="C529" s="42"/>
      <c r="D529" s="42"/>
      <c r="E529" s="42"/>
      <c r="F529" s="42"/>
      <c r="G529" s="42"/>
      <c r="H529" s="42"/>
      <c r="I529" s="28" t="s">
        <v>341</v>
      </c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30"/>
      <c r="BR529" s="11"/>
    </row>
    <row r="530" spans="1:70" s="2" customFormat="1" ht="30" customHeight="1">
      <c r="A530" s="40" t="s">
        <v>45</v>
      </c>
      <c r="B530" s="41"/>
      <c r="C530" s="42"/>
      <c r="D530" s="42"/>
      <c r="E530" s="42"/>
      <c r="F530" s="42"/>
      <c r="G530" s="42"/>
      <c r="H530" s="42"/>
      <c r="I530" s="28" t="s">
        <v>338</v>
      </c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30"/>
      <c r="X530" s="43" t="s">
        <v>32</v>
      </c>
      <c r="Y530" s="43"/>
      <c r="Z530" s="43"/>
      <c r="AA530" s="39" t="s">
        <v>296</v>
      </c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7">
        <v>2282</v>
      </c>
      <c r="AN530" s="37"/>
      <c r="AO530" s="37"/>
      <c r="AP530" s="37"/>
      <c r="AQ530" s="37"/>
      <c r="AR530" s="37"/>
      <c r="AS530" s="37"/>
      <c r="AT530" s="37"/>
      <c r="AU530" s="37"/>
      <c r="AV530" s="37"/>
      <c r="AW530" s="38"/>
      <c r="AX530" s="31">
        <f>2281.41</f>
        <v>2281.41</v>
      </c>
      <c r="AY530" s="31"/>
      <c r="AZ530" s="31"/>
      <c r="BA530" s="31"/>
      <c r="BB530" s="31"/>
      <c r="BC530" s="31"/>
      <c r="BD530" s="31"/>
      <c r="BE530" s="31"/>
      <c r="BF530" s="31"/>
      <c r="BG530" s="31"/>
      <c r="BH530" s="102">
        <f>AX530-AM530</f>
        <v>-0.5900000000001455</v>
      </c>
      <c r="BI530" s="37"/>
      <c r="BJ530" s="37"/>
      <c r="BK530" s="37"/>
      <c r="BL530" s="37"/>
      <c r="BM530" s="37"/>
      <c r="BN530" s="37"/>
      <c r="BO530" s="37"/>
      <c r="BP530" s="37"/>
      <c r="BQ530" s="37"/>
      <c r="BR530" s="38"/>
    </row>
    <row r="531" spans="1:70" s="2" customFormat="1" ht="24" customHeight="1">
      <c r="A531" s="89" t="s">
        <v>322</v>
      </c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90"/>
      <c r="BC531" s="90"/>
      <c r="BD531" s="90"/>
      <c r="BE531" s="90"/>
      <c r="BF531" s="90"/>
      <c r="BG531" s="90"/>
      <c r="BH531" s="90"/>
      <c r="BI531" s="90"/>
      <c r="BJ531" s="90"/>
      <c r="BK531" s="90"/>
      <c r="BL531" s="90"/>
      <c r="BM531" s="90"/>
      <c r="BN531" s="90"/>
      <c r="BO531" s="90"/>
      <c r="BP531" s="90"/>
      <c r="BQ531" s="91"/>
      <c r="BR531" s="11"/>
    </row>
    <row r="532" spans="1:70" s="1" customFormat="1" ht="18" customHeight="1">
      <c r="A532" s="32">
        <v>2</v>
      </c>
      <c r="B532" s="32"/>
      <c r="C532" s="92"/>
      <c r="D532" s="92"/>
      <c r="E532" s="92"/>
      <c r="F532" s="92"/>
      <c r="G532" s="92"/>
      <c r="H532" s="92"/>
      <c r="I532" s="93" t="s">
        <v>40</v>
      </c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  <c r="BE532" s="93"/>
      <c r="BF532" s="93"/>
      <c r="BG532" s="93"/>
      <c r="BH532" s="93"/>
      <c r="BI532" s="93"/>
      <c r="BJ532" s="93"/>
      <c r="BK532" s="93"/>
      <c r="BL532" s="93"/>
      <c r="BM532" s="93"/>
      <c r="BN532" s="93"/>
      <c r="BO532" s="93"/>
      <c r="BP532" s="93"/>
      <c r="BQ532" s="94"/>
      <c r="BR532" s="21"/>
    </row>
    <row r="533" spans="1:70" s="1" customFormat="1" ht="83.25" customHeight="1">
      <c r="A533" s="79" t="s">
        <v>46</v>
      </c>
      <c r="B533" s="80"/>
      <c r="C533" s="42"/>
      <c r="D533" s="42"/>
      <c r="E533" s="42"/>
      <c r="F533" s="42"/>
      <c r="G533" s="42"/>
      <c r="H533" s="42"/>
      <c r="I533" s="28" t="s">
        <v>339</v>
      </c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30"/>
      <c r="X533" s="43" t="s">
        <v>27</v>
      </c>
      <c r="Y533" s="43"/>
      <c r="Z533" s="43"/>
      <c r="AA533" s="39" t="s">
        <v>380</v>
      </c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87">
        <v>8</v>
      </c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>
        <v>8</v>
      </c>
      <c r="AY533" s="87"/>
      <c r="AZ533" s="87"/>
      <c r="BA533" s="87"/>
      <c r="BB533" s="87"/>
      <c r="BC533" s="87"/>
      <c r="BD533" s="87"/>
      <c r="BE533" s="87"/>
      <c r="BF533" s="87"/>
      <c r="BG533" s="87"/>
      <c r="BH533" s="96">
        <f>AX533-AL533</f>
        <v>0</v>
      </c>
      <c r="BI533" s="97"/>
      <c r="BJ533" s="97"/>
      <c r="BK533" s="97"/>
      <c r="BL533" s="97"/>
      <c r="BM533" s="97"/>
      <c r="BN533" s="97"/>
      <c r="BO533" s="97"/>
      <c r="BP533" s="97"/>
      <c r="BQ533" s="97"/>
      <c r="BR533" s="98"/>
    </row>
    <row r="534" spans="1:70" s="1" customFormat="1" ht="14.25" customHeight="1">
      <c r="A534" s="32">
        <v>3</v>
      </c>
      <c r="B534" s="32"/>
      <c r="C534" s="92"/>
      <c r="D534" s="92"/>
      <c r="E534" s="92"/>
      <c r="F534" s="92"/>
      <c r="G534" s="92"/>
      <c r="H534" s="92"/>
      <c r="I534" s="93" t="s">
        <v>41</v>
      </c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  <c r="BE534" s="93"/>
      <c r="BF534" s="93"/>
      <c r="BG534" s="93"/>
      <c r="BH534" s="93"/>
      <c r="BI534" s="93"/>
      <c r="BJ534" s="93"/>
      <c r="BK534" s="93"/>
      <c r="BL534" s="93"/>
      <c r="BM534" s="93"/>
      <c r="BN534" s="93"/>
      <c r="BO534" s="93"/>
      <c r="BP534" s="93"/>
      <c r="BQ534" s="94"/>
      <c r="BR534" s="21"/>
    </row>
    <row r="535" spans="1:70" s="2" customFormat="1" ht="45" customHeight="1">
      <c r="A535" s="88" t="s">
        <v>47</v>
      </c>
      <c r="B535" s="88"/>
      <c r="C535" s="42"/>
      <c r="D535" s="42"/>
      <c r="E535" s="42"/>
      <c r="F535" s="42"/>
      <c r="G535" s="42"/>
      <c r="H535" s="42"/>
      <c r="I535" s="28" t="s">
        <v>340</v>
      </c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30"/>
      <c r="X535" s="43" t="s">
        <v>32</v>
      </c>
      <c r="Y535" s="43"/>
      <c r="Z535" s="43"/>
      <c r="AA535" s="43" t="s">
        <v>43</v>
      </c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87">
        <f>AM530/AL533</f>
        <v>285.25</v>
      </c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>
        <f>AX530/AX533</f>
        <v>285.17625</v>
      </c>
      <c r="AY535" s="87"/>
      <c r="AZ535" s="87"/>
      <c r="BA535" s="87"/>
      <c r="BB535" s="87"/>
      <c r="BC535" s="87"/>
      <c r="BD535" s="87"/>
      <c r="BE535" s="87"/>
      <c r="BF535" s="87"/>
      <c r="BG535" s="87"/>
      <c r="BH535" s="96">
        <f>AX535-AL535</f>
        <v>-0.07375000000001819</v>
      </c>
      <c r="BI535" s="97"/>
      <c r="BJ535" s="97"/>
      <c r="BK535" s="97"/>
      <c r="BL535" s="97"/>
      <c r="BM535" s="97"/>
      <c r="BN535" s="97"/>
      <c r="BO535" s="97"/>
      <c r="BP535" s="97"/>
      <c r="BQ535" s="97"/>
      <c r="BR535" s="98"/>
    </row>
    <row r="536" spans="1:70" s="10" customFormat="1" ht="21.75" customHeight="1">
      <c r="A536" s="84"/>
      <c r="B536" s="85"/>
      <c r="C536" s="86"/>
      <c r="D536" s="86"/>
      <c r="E536" s="86"/>
      <c r="F536" s="86"/>
      <c r="G536" s="86"/>
      <c r="H536" s="86"/>
      <c r="I536" s="81" t="s">
        <v>342</v>
      </c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  <c r="BN536" s="82"/>
      <c r="BO536" s="82"/>
      <c r="BP536" s="82"/>
      <c r="BQ536" s="83"/>
      <c r="BR536" s="12"/>
    </row>
    <row r="537" spans="1:70" s="1" customFormat="1" ht="13.5" customHeight="1">
      <c r="A537" s="32">
        <v>1</v>
      </c>
      <c r="B537" s="32"/>
      <c r="C537" s="33"/>
      <c r="D537" s="34"/>
      <c r="E537" s="34"/>
      <c r="F537" s="34"/>
      <c r="G537" s="34"/>
      <c r="H537" s="35"/>
      <c r="I537" s="95" t="s">
        <v>50</v>
      </c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21"/>
    </row>
    <row r="538" spans="1:70" s="2" customFormat="1" ht="84" customHeight="1">
      <c r="A538" s="40" t="s">
        <v>44</v>
      </c>
      <c r="B538" s="41"/>
      <c r="C538" s="42"/>
      <c r="D538" s="42"/>
      <c r="E538" s="42"/>
      <c r="F538" s="42"/>
      <c r="G538" s="42"/>
      <c r="H538" s="42"/>
      <c r="I538" s="28" t="s">
        <v>343</v>
      </c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30"/>
      <c r="X538" s="43" t="s">
        <v>32</v>
      </c>
      <c r="Y538" s="43"/>
      <c r="Z538" s="43"/>
      <c r="AA538" s="39" t="s">
        <v>366</v>
      </c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7">
        <v>250</v>
      </c>
      <c r="AN538" s="37"/>
      <c r="AO538" s="37"/>
      <c r="AP538" s="37"/>
      <c r="AQ538" s="37"/>
      <c r="AR538" s="37"/>
      <c r="AS538" s="37"/>
      <c r="AT538" s="37"/>
      <c r="AU538" s="37"/>
      <c r="AV538" s="37"/>
      <c r="AW538" s="38"/>
      <c r="AX538" s="31">
        <f>236</f>
        <v>236</v>
      </c>
      <c r="AY538" s="31"/>
      <c r="AZ538" s="31"/>
      <c r="BA538" s="31"/>
      <c r="BB538" s="31"/>
      <c r="BC538" s="31"/>
      <c r="BD538" s="31"/>
      <c r="BE538" s="31"/>
      <c r="BF538" s="31"/>
      <c r="BG538" s="31"/>
      <c r="BH538" s="102">
        <f>AX538-AM538</f>
        <v>-14</v>
      </c>
      <c r="BI538" s="37"/>
      <c r="BJ538" s="37"/>
      <c r="BK538" s="37"/>
      <c r="BL538" s="37"/>
      <c r="BM538" s="37"/>
      <c r="BN538" s="37"/>
      <c r="BO538" s="37"/>
      <c r="BP538" s="37"/>
      <c r="BQ538" s="37"/>
      <c r="BR538" s="38"/>
    </row>
    <row r="539" spans="1:70" s="2" customFormat="1" ht="28.5" customHeight="1">
      <c r="A539" s="65"/>
      <c r="B539" s="66"/>
      <c r="C539" s="42"/>
      <c r="D539" s="42"/>
      <c r="E539" s="42"/>
      <c r="F539" s="42"/>
      <c r="G539" s="42"/>
      <c r="H539" s="42"/>
      <c r="I539" s="28" t="s">
        <v>344</v>
      </c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30"/>
      <c r="BR539" s="11"/>
    </row>
    <row r="540" spans="1:70" s="2" customFormat="1" ht="30" customHeight="1">
      <c r="A540" s="40" t="s">
        <v>45</v>
      </c>
      <c r="B540" s="41"/>
      <c r="C540" s="42"/>
      <c r="D540" s="42"/>
      <c r="E540" s="42"/>
      <c r="F540" s="42"/>
      <c r="G540" s="42"/>
      <c r="H540" s="42"/>
      <c r="I540" s="28" t="s">
        <v>63</v>
      </c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30"/>
      <c r="X540" s="43" t="s">
        <v>32</v>
      </c>
      <c r="Y540" s="43"/>
      <c r="Z540" s="43"/>
      <c r="AA540" s="39" t="s">
        <v>296</v>
      </c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7">
        <v>12455</v>
      </c>
      <c r="AN540" s="37"/>
      <c r="AO540" s="37"/>
      <c r="AP540" s="37"/>
      <c r="AQ540" s="37"/>
      <c r="AR540" s="37"/>
      <c r="AS540" s="37"/>
      <c r="AT540" s="37"/>
      <c r="AU540" s="37"/>
      <c r="AV540" s="37"/>
      <c r="AW540" s="38"/>
      <c r="AX540" s="31">
        <v>12455</v>
      </c>
      <c r="AY540" s="31"/>
      <c r="AZ540" s="31"/>
      <c r="BA540" s="31"/>
      <c r="BB540" s="31"/>
      <c r="BC540" s="31"/>
      <c r="BD540" s="31"/>
      <c r="BE540" s="31"/>
      <c r="BF540" s="31"/>
      <c r="BG540" s="31"/>
      <c r="BH540" s="102">
        <f>AX540-AM540</f>
        <v>0</v>
      </c>
      <c r="BI540" s="37"/>
      <c r="BJ540" s="37"/>
      <c r="BK540" s="37"/>
      <c r="BL540" s="37"/>
      <c r="BM540" s="37"/>
      <c r="BN540" s="37"/>
      <c r="BO540" s="37"/>
      <c r="BP540" s="37"/>
      <c r="BQ540" s="37"/>
      <c r="BR540" s="38"/>
    </row>
    <row r="541" spans="1:70" s="1" customFormat="1" ht="18" customHeight="1">
      <c r="A541" s="32">
        <v>2</v>
      </c>
      <c r="B541" s="32"/>
      <c r="C541" s="92"/>
      <c r="D541" s="92"/>
      <c r="E541" s="92"/>
      <c r="F541" s="92"/>
      <c r="G541" s="92"/>
      <c r="H541" s="92"/>
      <c r="I541" s="93" t="s">
        <v>40</v>
      </c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  <c r="BE541" s="93"/>
      <c r="BF541" s="93"/>
      <c r="BG541" s="93"/>
      <c r="BH541" s="93"/>
      <c r="BI541" s="93"/>
      <c r="BJ541" s="93"/>
      <c r="BK541" s="93"/>
      <c r="BL541" s="93"/>
      <c r="BM541" s="93"/>
      <c r="BN541" s="93"/>
      <c r="BO541" s="93"/>
      <c r="BP541" s="93"/>
      <c r="BQ541" s="94"/>
      <c r="BR541" s="21"/>
    </row>
    <row r="542" spans="1:70" s="1" customFormat="1" ht="84.75" customHeight="1">
      <c r="A542" s="79" t="s">
        <v>46</v>
      </c>
      <c r="B542" s="80"/>
      <c r="C542" s="42"/>
      <c r="D542" s="42"/>
      <c r="E542" s="42"/>
      <c r="F542" s="42"/>
      <c r="G542" s="42"/>
      <c r="H542" s="42"/>
      <c r="I542" s="28" t="s">
        <v>345</v>
      </c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30"/>
      <c r="X542" s="43" t="s">
        <v>27</v>
      </c>
      <c r="Y542" s="43"/>
      <c r="Z542" s="43"/>
      <c r="AA542" s="39" t="s">
        <v>380</v>
      </c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87">
        <v>250</v>
      </c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31">
        <v>236</v>
      </c>
      <c r="AY542" s="31"/>
      <c r="AZ542" s="31"/>
      <c r="BA542" s="31"/>
      <c r="BB542" s="31"/>
      <c r="BC542" s="31"/>
      <c r="BD542" s="31"/>
      <c r="BE542" s="31"/>
      <c r="BF542" s="31"/>
      <c r="BG542" s="31"/>
      <c r="BH542" s="96">
        <f>AX542-AL542</f>
        <v>-14</v>
      </c>
      <c r="BI542" s="97"/>
      <c r="BJ542" s="97"/>
      <c r="BK542" s="97"/>
      <c r="BL542" s="97"/>
      <c r="BM542" s="97"/>
      <c r="BN542" s="97"/>
      <c r="BO542" s="97"/>
      <c r="BP542" s="97"/>
      <c r="BQ542" s="97"/>
      <c r="BR542" s="98"/>
    </row>
    <row r="543" spans="1:70" s="1" customFormat="1" ht="21" customHeight="1">
      <c r="A543" s="32">
        <v>3</v>
      </c>
      <c r="B543" s="32"/>
      <c r="C543" s="92"/>
      <c r="D543" s="92"/>
      <c r="E543" s="92"/>
      <c r="F543" s="92"/>
      <c r="G543" s="92"/>
      <c r="H543" s="92"/>
      <c r="I543" s="93" t="s">
        <v>41</v>
      </c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3"/>
      <c r="BG543" s="93"/>
      <c r="BH543" s="93"/>
      <c r="BI543" s="93"/>
      <c r="BJ543" s="93"/>
      <c r="BK543" s="93"/>
      <c r="BL543" s="93"/>
      <c r="BM543" s="93"/>
      <c r="BN543" s="93"/>
      <c r="BO543" s="93"/>
      <c r="BP543" s="93"/>
      <c r="BQ543" s="94"/>
      <c r="BR543" s="21"/>
    </row>
    <row r="544" spans="1:70" s="2" customFormat="1" ht="45" customHeight="1">
      <c r="A544" s="88" t="s">
        <v>47</v>
      </c>
      <c r="B544" s="88"/>
      <c r="C544" s="42"/>
      <c r="D544" s="42"/>
      <c r="E544" s="42"/>
      <c r="F544" s="42"/>
      <c r="G544" s="42"/>
      <c r="H544" s="42"/>
      <c r="I544" s="28" t="s">
        <v>346</v>
      </c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30"/>
      <c r="X544" s="43" t="s">
        <v>32</v>
      </c>
      <c r="Y544" s="43"/>
      <c r="Z544" s="43"/>
      <c r="AA544" s="43" t="s">
        <v>43</v>
      </c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87">
        <f>AM540/AL542</f>
        <v>49.82</v>
      </c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>
        <f>AX540/AX542</f>
        <v>52.77542372881356</v>
      </c>
      <c r="AY544" s="87"/>
      <c r="AZ544" s="87"/>
      <c r="BA544" s="87"/>
      <c r="BB544" s="87"/>
      <c r="BC544" s="87"/>
      <c r="BD544" s="87"/>
      <c r="BE544" s="87"/>
      <c r="BF544" s="87"/>
      <c r="BG544" s="87"/>
      <c r="BH544" s="96">
        <f>AX544-AL544</f>
        <v>2.9554237288135567</v>
      </c>
      <c r="BI544" s="97"/>
      <c r="BJ544" s="97"/>
      <c r="BK544" s="97"/>
      <c r="BL544" s="97"/>
      <c r="BM544" s="97"/>
      <c r="BN544" s="97"/>
      <c r="BO544" s="97"/>
      <c r="BP544" s="97"/>
      <c r="BQ544" s="97"/>
      <c r="BR544" s="98"/>
    </row>
    <row r="545" spans="1:70" s="6" customFormat="1" ht="42.75" customHeight="1">
      <c r="A545" s="135"/>
      <c r="B545" s="136"/>
      <c r="C545" s="134"/>
      <c r="D545" s="134"/>
      <c r="E545" s="134"/>
      <c r="F545" s="134"/>
      <c r="G545" s="134"/>
      <c r="H545" s="134"/>
      <c r="I545" s="200" t="s">
        <v>347</v>
      </c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1"/>
      <c r="V545" s="201"/>
      <c r="W545" s="201"/>
      <c r="X545" s="201"/>
      <c r="Y545" s="201"/>
      <c r="Z545" s="201"/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1"/>
      <c r="AM545" s="201"/>
      <c r="AN545" s="201"/>
      <c r="AO545" s="201"/>
      <c r="AP545" s="201"/>
      <c r="AQ545" s="201"/>
      <c r="AR545" s="201"/>
      <c r="AS545" s="201"/>
      <c r="AT545" s="201"/>
      <c r="AU545" s="201"/>
      <c r="AV545" s="201"/>
      <c r="AW545" s="201"/>
      <c r="AX545" s="201"/>
      <c r="AY545" s="201"/>
      <c r="AZ545" s="201"/>
      <c r="BA545" s="201"/>
      <c r="BB545" s="201"/>
      <c r="BC545" s="201"/>
      <c r="BD545" s="201"/>
      <c r="BE545" s="201"/>
      <c r="BF545" s="201"/>
      <c r="BG545" s="201"/>
      <c r="BH545" s="201"/>
      <c r="BI545" s="201"/>
      <c r="BJ545" s="201"/>
      <c r="BK545" s="201"/>
      <c r="BL545" s="201"/>
      <c r="BM545" s="201"/>
      <c r="BN545" s="201"/>
      <c r="BO545" s="201"/>
      <c r="BP545" s="201"/>
      <c r="BQ545" s="202"/>
      <c r="BR545" s="13"/>
    </row>
    <row r="546" spans="1:70" s="6" customFormat="1" ht="25.5" customHeight="1">
      <c r="A546" s="135"/>
      <c r="B546" s="136"/>
      <c r="C546" s="134"/>
      <c r="D546" s="134"/>
      <c r="E546" s="134"/>
      <c r="F546" s="134"/>
      <c r="G546" s="134"/>
      <c r="H546" s="134"/>
      <c r="I546" s="81" t="s">
        <v>348</v>
      </c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  <c r="BL546" s="82"/>
      <c r="BM546" s="82"/>
      <c r="BN546" s="82"/>
      <c r="BO546" s="82"/>
      <c r="BP546" s="82"/>
      <c r="BQ546" s="83"/>
      <c r="BR546" s="13"/>
    </row>
    <row r="547" spans="1:70" s="1" customFormat="1" ht="18" customHeight="1">
      <c r="A547" s="32">
        <v>1</v>
      </c>
      <c r="B547" s="32"/>
      <c r="C547" s="33"/>
      <c r="D547" s="34"/>
      <c r="E547" s="34"/>
      <c r="F547" s="34"/>
      <c r="G547" s="34"/>
      <c r="H547" s="35"/>
      <c r="I547" s="95" t="s">
        <v>50</v>
      </c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21"/>
    </row>
    <row r="548" spans="1:70" s="1" customFormat="1" ht="72" customHeight="1">
      <c r="A548" s="40" t="s">
        <v>44</v>
      </c>
      <c r="B548" s="41"/>
      <c r="C548" s="42"/>
      <c r="D548" s="42"/>
      <c r="E548" s="42"/>
      <c r="F548" s="42"/>
      <c r="G548" s="42"/>
      <c r="H548" s="42"/>
      <c r="I548" s="28" t="s">
        <v>348</v>
      </c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30"/>
      <c r="X548" s="43" t="s">
        <v>32</v>
      </c>
      <c r="Y548" s="43"/>
      <c r="Z548" s="43"/>
      <c r="AA548" s="49" t="s">
        <v>349</v>
      </c>
      <c r="AB548" s="50"/>
      <c r="AC548" s="50"/>
      <c r="AD548" s="50"/>
      <c r="AE548" s="50"/>
      <c r="AF548" s="50"/>
      <c r="AG548" s="50"/>
      <c r="AH548" s="50"/>
      <c r="AI548" s="50"/>
      <c r="AJ548" s="50"/>
      <c r="AK548" s="51"/>
      <c r="AL548" s="31">
        <v>50000</v>
      </c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>
        <f>49831.54</f>
        <v>49831.54</v>
      </c>
      <c r="AY548" s="31"/>
      <c r="AZ548" s="31"/>
      <c r="BA548" s="31"/>
      <c r="BB548" s="31"/>
      <c r="BC548" s="31"/>
      <c r="BD548" s="31"/>
      <c r="BE548" s="31"/>
      <c r="BF548" s="31"/>
      <c r="BG548" s="31"/>
      <c r="BH548" s="102">
        <f>AX548-AL548</f>
        <v>-168.45999999999913</v>
      </c>
      <c r="BI548" s="37"/>
      <c r="BJ548" s="37"/>
      <c r="BK548" s="37"/>
      <c r="BL548" s="37"/>
      <c r="BM548" s="37"/>
      <c r="BN548" s="37"/>
      <c r="BO548" s="37"/>
      <c r="BP548" s="37"/>
      <c r="BQ548" s="37"/>
      <c r="BR548" s="38"/>
    </row>
    <row r="549" spans="1:70" s="2" customFormat="1" ht="30" customHeight="1">
      <c r="A549" s="65"/>
      <c r="B549" s="66"/>
      <c r="C549" s="42"/>
      <c r="D549" s="42"/>
      <c r="E549" s="42"/>
      <c r="F549" s="42"/>
      <c r="G549" s="42"/>
      <c r="H549" s="42"/>
      <c r="I549" s="28" t="s">
        <v>350</v>
      </c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30"/>
      <c r="BR549" s="11"/>
    </row>
    <row r="550" spans="1:70" s="1" customFormat="1" ht="15" customHeight="1">
      <c r="A550" s="32">
        <v>2</v>
      </c>
      <c r="B550" s="32"/>
      <c r="C550" s="92"/>
      <c r="D550" s="92"/>
      <c r="E550" s="92"/>
      <c r="F550" s="92"/>
      <c r="G550" s="92"/>
      <c r="H550" s="92"/>
      <c r="I550" s="93" t="s">
        <v>40</v>
      </c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  <c r="AV550" s="93"/>
      <c r="AW550" s="93"/>
      <c r="AX550" s="93"/>
      <c r="AY550" s="93"/>
      <c r="AZ550" s="93"/>
      <c r="BA550" s="93"/>
      <c r="BB550" s="93"/>
      <c r="BC550" s="93"/>
      <c r="BD550" s="93"/>
      <c r="BE550" s="93"/>
      <c r="BF550" s="93"/>
      <c r="BG550" s="93"/>
      <c r="BH550" s="93"/>
      <c r="BI550" s="93"/>
      <c r="BJ550" s="93"/>
      <c r="BK550" s="93"/>
      <c r="BL550" s="93"/>
      <c r="BM550" s="93"/>
      <c r="BN550" s="93"/>
      <c r="BO550" s="93"/>
      <c r="BP550" s="93"/>
      <c r="BQ550" s="94"/>
      <c r="BR550" s="21"/>
    </row>
    <row r="551" spans="1:70" s="1" customFormat="1" ht="100.5" customHeight="1">
      <c r="A551" s="79" t="s">
        <v>46</v>
      </c>
      <c r="B551" s="80"/>
      <c r="C551" s="42"/>
      <c r="D551" s="42"/>
      <c r="E551" s="42"/>
      <c r="F551" s="42"/>
      <c r="G551" s="42"/>
      <c r="H551" s="42"/>
      <c r="I551" s="28" t="s">
        <v>351</v>
      </c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30"/>
      <c r="X551" s="43" t="s">
        <v>27</v>
      </c>
      <c r="Y551" s="43"/>
      <c r="Z551" s="43"/>
      <c r="AA551" s="106" t="s">
        <v>352</v>
      </c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8"/>
      <c r="AL551" s="87">
        <v>1</v>
      </c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  <c r="AX551" s="87">
        <v>1</v>
      </c>
      <c r="AY551" s="87"/>
      <c r="AZ551" s="87"/>
      <c r="BA551" s="87"/>
      <c r="BB551" s="87"/>
      <c r="BC551" s="87"/>
      <c r="BD551" s="87"/>
      <c r="BE551" s="87"/>
      <c r="BF551" s="87"/>
      <c r="BG551" s="87"/>
      <c r="BH551" s="197">
        <v>0</v>
      </c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9"/>
    </row>
    <row r="552" spans="1:70" s="1" customFormat="1" ht="17.25" customHeight="1">
      <c r="A552" s="32">
        <v>3</v>
      </c>
      <c r="B552" s="32"/>
      <c r="C552" s="92"/>
      <c r="D552" s="92"/>
      <c r="E552" s="92"/>
      <c r="F552" s="92"/>
      <c r="G552" s="92"/>
      <c r="H552" s="92"/>
      <c r="I552" s="93" t="s">
        <v>41</v>
      </c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  <c r="BE552" s="93"/>
      <c r="BF552" s="93"/>
      <c r="BG552" s="93"/>
      <c r="BH552" s="93"/>
      <c r="BI552" s="93"/>
      <c r="BJ552" s="93"/>
      <c r="BK552" s="93"/>
      <c r="BL552" s="93"/>
      <c r="BM552" s="93"/>
      <c r="BN552" s="93"/>
      <c r="BO552" s="93"/>
      <c r="BP552" s="93"/>
      <c r="BQ552" s="94"/>
      <c r="BR552" s="21"/>
    </row>
    <row r="553" spans="1:70" s="1" customFormat="1" ht="38.25" customHeight="1">
      <c r="A553" s="88" t="s">
        <v>47</v>
      </c>
      <c r="B553" s="88"/>
      <c r="C553" s="42"/>
      <c r="D553" s="42"/>
      <c r="E553" s="42"/>
      <c r="F553" s="42"/>
      <c r="G553" s="42"/>
      <c r="H553" s="42"/>
      <c r="I553" s="28" t="s">
        <v>353</v>
      </c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30"/>
      <c r="X553" s="43" t="s">
        <v>32</v>
      </c>
      <c r="Y553" s="43"/>
      <c r="Z553" s="43"/>
      <c r="AA553" s="43" t="s">
        <v>43</v>
      </c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87">
        <f>AL548/AL551</f>
        <v>50000</v>
      </c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>
        <f>AX548/AX551</f>
        <v>49831.54</v>
      </c>
      <c r="AY553" s="87"/>
      <c r="AZ553" s="87"/>
      <c r="BA553" s="87"/>
      <c r="BB553" s="87"/>
      <c r="BC553" s="87"/>
      <c r="BD553" s="87"/>
      <c r="BE553" s="87"/>
      <c r="BF553" s="87"/>
      <c r="BG553" s="87"/>
      <c r="BH553" s="96">
        <f>AX553-AL553</f>
        <v>-168.45999999999913</v>
      </c>
      <c r="BI553" s="97"/>
      <c r="BJ553" s="97"/>
      <c r="BK553" s="97"/>
      <c r="BL553" s="97"/>
      <c r="BM553" s="97"/>
      <c r="BN553" s="97"/>
      <c r="BO553" s="97"/>
      <c r="BP553" s="97"/>
      <c r="BQ553" s="97"/>
      <c r="BR553" s="98"/>
    </row>
    <row r="554" spans="1:70" s="1" customFormat="1" ht="24" customHeight="1">
      <c r="A554" s="65"/>
      <c r="B554" s="66"/>
      <c r="C554" s="42"/>
      <c r="D554" s="42"/>
      <c r="E554" s="42"/>
      <c r="F554" s="42"/>
      <c r="G554" s="42"/>
      <c r="H554" s="42"/>
      <c r="I554" s="28" t="s">
        <v>354</v>
      </c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30"/>
      <c r="BR554" s="21"/>
    </row>
    <row r="555" spans="1:69" s="2" customFormat="1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</row>
    <row r="556" s="7" customFormat="1" ht="13.5" customHeight="1"/>
    <row r="557" spans="1:69" s="1" customFormat="1" ht="17.25">
      <c r="A557" s="4"/>
      <c r="B557" s="133" t="s">
        <v>38</v>
      </c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4"/>
      <c r="AH557" s="4"/>
      <c r="AI557" s="4"/>
      <c r="AJ557" s="16"/>
      <c r="AK557" s="131"/>
      <c r="AL557" s="131"/>
      <c r="AM557" s="131"/>
      <c r="AN557" s="131"/>
      <c r="AO557" s="131"/>
      <c r="AP557" s="131"/>
      <c r="AQ557" s="17"/>
      <c r="AR557" s="18"/>
      <c r="AS557" s="18"/>
      <c r="AT557" s="18"/>
      <c r="AU557" s="4"/>
      <c r="AV557" s="129" t="s">
        <v>39</v>
      </c>
      <c r="AW557" s="129"/>
      <c r="AX557" s="129"/>
      <c r="AY557" s="129"/>
      <c r="AZ557" s="129"/>
      <c r="BA557" s="129"/>
      <c r="BB557" s="129"/>
      <c r="BC557" s="129"/>
      <c r="BD557" s="129"/>
      <c r="BE557" s="129"/>
      <c r="BF557" s="129"/>
      <c r="BG557" s="129"/>
      <c r="BH557" s="19"/>
      <c r="BI557" s="4"/>
      <c r="BJ557" s="4"/>
      <c r="BK557" s="4"/>
      <c r="BL557" s="4"/>
      <c r="BM557" s="4"/>
      <c r="BN557" s="4"/>
      <c r="BO557" s="4"/>
      <c r="BP557" s="4"/>
      <c r="BQ557" s="4"/>
    </row>
    <row r="558" spans="22:60" s="1" customFormat="1" ht="13.5">
      <c r="V558" s="130"/>
      <c r="W558" s="130"/>
      <c r="X558" s="130"/>
      <c r="Y558" s="130"/>
      <c r="Z558" s="130"/>
      <c r="AA558" s="130"/>
      <c r="AJ558" s="132" t="s">
        <v>29</v>
      </c>
      <c r="AK558" s="132"/>
      <c r="AL558" s="132"/>
      <c r="AM558" s="132"/>
      <c r="AN558" s="132"/>
      <c r="AO558" s="132"/>
      <c r="AP558" s="132"/>
      <c r="AQ558" s="3"/>
      <c r="AR558" s="15"/>
      <c r="AS558" s="15"/>
      <c r="AT558" s="15"/>
      <c r="AV558" s="128" t="s">
        <v>30</v>
      </c>
      <c r="AW558" s="128"/>
      <c r="AX558" s="128"/>
      <c r="AY558" s="128"/>
      <c r="AZ558" s="128"/>
      <c r="BA558" s="128"/>
      <c r="BB558" s="128"/>
      <c r="BC558" s="128"/>
      <c r="BD558" s="128"/>
      <c r="BE558" s="128"/>
      <c r="BF558" s="128"/>
      <c r="BG558" s="128"/>
      <c r="BH558" s="15"/>
    </row>
    <row r="559" spans="1:69" s="8" customFormat="1" ht="16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</row>
    <row r="560" spans="1:69" ht="16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</row>
  </sheetData>
  <sheetProtection/>
  <mergeCells count="2530">
    <mergeCell ref="AL339:AW339"/>
    <mergeCell ref="D10:AA10"/>
    <mergeCell ref="AS10:BL10"/>
    <mergeCell ref="E4:BD4"/>
    <mergeCell ref="Q6:AX6"/>
    <mergeCell ref="Y7:AR7"/>
    <mergeCell ref="AF8:AK8"/>
    <mergeCell ref="J9:V9"/>
    <mergeCell ref="AS9:BL9"/>
    <mergeCell ref="BH548:BR548"/>
    <mergeCell ref="BH551:BR551"/>
    <mergeCell ref="BH553:BR553"/>
    <mergeCell ref="AX339:BG339"/>
    <mergeCell ref="BH339:BR339"/>
    <mergeCell ref="A339:B339"/>
    <mergeCell ref="C339:H339"/>
    <mergeCell ref="I339:W339"/>
    <mergeCell ref="X339:Z339"/>
    <mergeCell ref="AA339:AK339"/>
    <mergeCell ref="AX544:BG544"/>
    <mergeCell ref="AX538:BG538"/>
    <mergeCell ref="I477:BR477"/>
    <mergeCell ref="I478:BR478"/>
    <mergeCell ref="I479:BR479"/>
    <mergeCell ref="BH544:BR544"/>
    <mergeCell ref="BH528:BR528"/>
    <mergeCell ref="BH530:BR530"/>
    <mergeCell ref="BH533:BR533"/>
    <mergeCell ref="BH535:BR535"/>
    <mergeCell ref="BH538:BR538"/>
    <mergeCell ref="BH540:BR540"/>
    <mergeCell ref="BH518:BR518"/>
    <mergeCell ref="BH519:BR519"/>
    <mergeCell ref="BH522:BR522"/>
    <mergeCell ref="BH525:BR525"/>
    <mergeCell ref="A523:BQ523"/>
    <mergeCell ref="A524:B524"/>
    <mergeCell ref="C524:H524"/>
    <mergeCell ref="I524:BQ524"/>
    <mergeCell ref="A507:B507"/>
    <mergeCell ref="C507:H507"/>
    <mergeCell ref="I507:BQ507"/>
    <mergeCell ref="A501:B501"/>
    <mergeCell ref="C501:H501"/>
    <mergeCell ref="I501:BQ501"/>
    <mergeCell ref="A502:B502"/>
    <mergeCell ref="BH437:BR437"/>
    <mergeCell ref="BH498:BR498"/>
    <mergeCell ref="BH499:BR499"/>
    <mergeCell ref="BH502:BR502"/>
    <mergeCell ref="BH505:BR505"/>
    <mergeCell ref="BH439:BR439"/>
    <mergeCell ref="BH444:BR444"/>
    <mergeCell ref="BH459:BR459"/>
    <mergeCell ref="I470:BR470"/>
    <mergeCell ref="A500:BQ500"/>
    <mergeCell ref="BH434:BR434"/>
    <mergeCell ref="X430:Z430"/>
    <mergeCell ref="AA430:AK430"/>
    <mergeCell ref="AL430:AW430"/>
    <mergeCell ref="AX430:BG430"/>
    <mergeCell ref="BH424:BR424"/>
    <mergeCell ref="BH427:BR427"/>
    <mergeCell ref="AX424:BG424"/>
    <mergeCell ref="AM424:AW424"/>
    <mergeCell ref="BH356:BR356"/>
    <mergeCell ref="BH359:BR359"/>
    <mergeCell ref="BH360:BR360"/>
    <mergeCell ref="I357:BR357"/>
    <mergeCell ref="AX359:BG359"/>
    <mergeCell ref="AX352:BG352"/>
    <mergeCell ref="AX360:BG360"/>
    <mergeCell ref="X359:Z359"/>
    <mergeCell ref="AA356:AL356"/>
    <mergeCell ref="BH329:BR329"/>
    <mergeCell ref="BH332:BR332"/>
    <mergeCell ref="BH335:BR335"/>
    <mergeCell ref="BH336:BR336"/>
    <mergeCell ref="BH337:BR337"/>
    <mergeCell ref="BH338:BR338"/>
    <mergeCell ref="I330:BQ330"/>
    <mergeCell ref="AX335:BG335"/>
    <mergeCell ref="I335:W335"/>
    <mergeCell ref="X335:Z335"/>
    <mergeCell ref="BH311:BR311"/>
    <mergeCell ref="BH315:BR315"/>
    <mergeCell ref="BH318:BR318"/>
    <mergeCell ref="BH319:BR319"/>
    <mergeCell ref="BH322:BR322"/>
    <mergeCell ref="BH326:BR326"/>
    <mergeCell ref="BH297:BR297"/>
    <mergeCell ref="BH298:BR298"/>
    <mergeCell ref="BH299:BR299"/>
    <mergeCell ref="BH303:BR303"/>
    <mergeCell ref="BH306:BR306"/>
    <mergeCell ref="BH307:BR307"/>
    <mergeCell ref="BH279:BR279"/>
    <mergeCell ref="BH283:BR283"/>
    <mergeCell ref="BH289:BR289"/>
    <mergeCell ref="BH292:BR292"/>
    <mergeCell ref="BH293:BR293"/>
    <mergeCell ref="BH294:BR294"/>
    <mergeCell ref="I282:BQ282"/>
    <mergeCell ref="BH280:BQ280"/>
    <mergeCell ref="AX289:BG289"/>
    <mergeCell ref="I281:BQ281"/>
    <mergeCell ref="BH255:BR255"/>
    <mergeCell ref="BH256:BR256"/>
    <mergeCell ref="BH259:BR259"/>
    <mergeCell ref="BH264:BR264"/>
    <mergeCell ref="BH267:BR267"/>
    <mergeCell ref="BH268:BR268"/>
    <mergeCell ref="I262:BQ262"/>
    <mergeCell ref="AX264:BG264"/>
    <mergeCell ref="I258:BQ258"/>
    <mergeCell ref="AX259:BG259"/>
    <mergeCell ref="BH248:BR248"/>
    <mergeCell ref="BH245:BQ245"/>
    <mergeCell ref="I235:BQ235"/>
    <mergeCell ref="I234:BQ234"/>
    <mergeCell ref="AM233:AW233"/>
    <mergeCell ref="AX248:BG248"/>
    <mergeCell ref="AM245:AW245"/>
    <mergeCell ref="AM241:AW241"/>
    <mergeCell ref="AX244:BG244"/>
    <mergeCell ref="AX233:BG233"/>
    <mergeCell ref="BH218:BR218"/>
    <mergeCell ref="BH221:BR221"/>
    <mergeCell ref="BH232:BR232"/>
    <mergeCell ref="BH233:BR233"/>
    <mergeCell ref="BH236:BR236"/>
    <mergeCell ref="BH241:BR241"/>
    <mergeCell ref="I224:BQ224"/>
    <mergeCell ref="AA225:AL225"/>
    <mergeCell ref="AM225:AW225"/>
    <mergeCell ref="AX222:BG222"/>
    <mergeCell ref="BH199:BR199"/>
    <mergeCell ref="BH200:BR200"/>
    <mergeCell ref="BH203:BR203"/>
    <mergeCell ref="BH207:BR207"/>
    <mergeCell ref="BH210:BR210"/>
    <mergeCell ref="BH211:BR211"/>
    <mergeCell ref="BH191:BR191"/>
    <mergeCell ref="BH196:BR196"/>
    <mergeCell ref="BH163:BR163"/>
    <mergeCell ref="BH166:BR166"/>
    <mergeCell ref="BH169:BR169"/>
    <mergeCell ref="BH174:BR174"/>
    <mergeCell ref="BH88:BR88"/>
    <mergeCell ref="A87:B87"/>
    <mergeCell ref="A88:B88"/>
    <mergeCell ref="BH177:BR177"/>
    <mergeCell ref="BH123:BR123"/>
    <mergeCell ref="A118:B118"/>
    <mergeCell ref="C118:H118"/>
    <mergeCell ref="X120:Z120"/>
    <mergeCell ref="AA120:AL120"/>
    <mergeCell ref="BH159:BR159"/>
    <mergeCell ref="A543:B543"/>
    <mergeCell ref="A117:BR117"/>
    <mergeCell ref="I118:BR118"/>
    <mergeCell ref="I119:BR119"/>
    <mergeCell ref="BH120:BR120"/>
    <mergeCell ref="A121:BR121"/>
    <mergeCell ref="A177:B177"/>
    <mergeCell ref="C177:H177"/>
    <mergeCell ref="A164:B164"/>
    <mergeCell ref="BH188:BR188"/>
    <mergeCell ref="AA542:AK542"/>
    <mergeCell ref="AL542:AW542"/>
    <mergeCell ref="BH11:BR12"/>
    <mergeCell ref="A544:B544"/>
    <mergeCell ref="C544:H544"/>
    <mergeCell ref="I544:W544"/>
    <mergeCell ref="X544:Z544"/>
    <mergeCell ref="AA544:AK544"/>
    <mergeCell ref="AL544:AW544"/>
    <mergeCell ref="AX542:BG542"/>
    <mergeCell ref="A541:B541"/>
    <mergeCell ref="C541:H541"/>
    <mergeCell ref="I541:BQ541"/>
    <mergeCell ref="C543:H543"/>
    <mergeCell ref="I543:BQ543"/>
    <mergeCell ref="BH542:BR542"/>
    <mergeCell ref="A542:B542"/>
    <mergeCell ref="C542:H542"/>
    <mergeCell ref="I542:W542"/>
    <mergeCell ref="X542:Z542"/>
    <mergeCell ref="A539:B539"/>
    <mergeCell ref="C539:H539"/>
    <mergeCell ref="I539:BQ539"/>
    <mergeCell ref="A540:B540"/>
    <mergeCell ref="C540:H540"/>
    <mergeCell ref="I540:W540"/>
    <mergeCell ref="X540:Z540"/>
    <mergeCell ref="AA540:AL540"/>
    <mergeCell ref="AM540:AW540"/>
    <mergeCell ref="AX540:BG540"/>
    <mergeCell ref="AA535:AK535"/>
    <mergeCell ref="AL535:AW535"/>
    <mergeCell ref="AX535:BG535"/>
    <mergeCell ref="A538:B538"/>
    <mergeCell ref="C538:H538"/>
    <mergeCell ref="I538:W538"/>
    <mergeCell ref="X538:Z538"/>
    <mergeCell ref="AA538:AL538"/>
    <mergeCell ref="AM538:AW538"/>
    <mergeCell ref="I533:W533"/>
    <mergeCell ref="X533:Z533"/>
    <mergeCell ref="AA533:AK533"/>
    <mergeCell ref="AL533:AW533"/>
    <mergeCell ref="A537:B537"/>
    <mergeCell ref="C537:H537"/>
    <mergeCell ref="I537:BQ537"/>
    <mergeCell ref="A535:B535"/>
    <mergeCell ref="C535:H535"/>
    <mergeCell ref="I535:W535"/>
    <mergeCell ref="A531:BQ531"/>
    <mergeCell ref="A532:B532"/>
    <mergeCell ref="C532:H532"/>
    <mergeCell ref="I532:BQ532"/>
    <mergeCell ref="AX533:BG533"/>
    <mergeCell ref="A534:B534"/>
    <mergeCell ref="C534:H534"/>
    <mergeCell ref="I534:BQ534"/>
    <mergeCell ref="A533:B533"/>
    <mergeCell ref="C533:H533"/>
    <mergeCell ref="A529:B529"/>
    <mergeCell ref="C529:H529"/>
    <mergeCell ref="I529:BQ529"/>
    <mergeCell ref="A530:B530"/>
    <mergeCell ref="C530:H530"/>
    <mergeCell ref="I530:W530"/>
    <mergeCell ref="X530:Z530"/>
    <mergeCell ref="AA530:AL530"/>
    <mergeCell ref="AM530:AW530"/>
    <mergeCell ref="AX530:BG530"/>
    <mergeCell ref="A527:B527"/>
    <mergeCell ref="C527:H527"/>
    <mergeCell ref="I527:BQ527"/>
    <mergeCell ref="A528:B528"/>
    <mergeCell ref="C528:H528"/>
    <mergeCell ref="I528:W528"/>
    <mergeCell ref="X528:Z528"/>
    <mergeCell ref="AA528:AL528"/>
    <mergeCell ref="AM528:AW528"/>
    <mergeCell ref="AX528:BG528"/>
    <mergeCell ref="BH381:BR381"/>
    <mergeCell ref="BH383:BR383"/>
    <mergeCell ref="A526:B526"/>
    <mergeCell ref="C526:H526"/>
    <mergeCell ref="I526:BQ526"/>
    <mergeCell ref="BH408:BR408"/>
    <mergeCell ref="BH411:BR411"/>
    <mergeCell ref="X383:Z383"/>
    <mergeCell ref="AA383:AK383"/>
    <mergeCell ref="AL383:AW383"/>
    <mergeCell ref="A357:B357"/>
    <mergeCell ref="C353:H353"/>
    <mergeCell ref="I353:BQ353"/>
    <mergeCell ref="AL352:AW352"/>
    <mergeCell ref="AL374:AW374"/>
    <mergeCell ref="AX374:BG374"/>
    <mergeCell ref="BH374:BR374"/>
    <mergeCell ref="C374:H374"/>
    <mergeCell ref="BH362:BR362"/>
    <mergeCell ref="BH363:BR363"/>
    <mergeCell ref="A352:B352"/>
    <mergeCell ref="C352:H352"/>
    <mergeCell ref="I352:W352"/>
    <mergeCell ref="X352:Z352"/>
    <mergeCell ref="AA352:AK352"/>
    <mergeCell ref="A353:B353"/>
    <mergeCell ref="AX338:BG338"/>
    <mergeCell ref="A360:B360"/>
    <mergeCell ref="C360:H360"/>
    <mergeCell ref="I360:W360"/>
    <mergeCell ref="X360:Z360"/>
    <mergeCell ref="AL360:AW360"/>
    <mergeCell ref="AA359:AK360"/>
    <mergeCell ref="AL359:AW359"/>
    <mergeCell ref="A359:B359"/>
    <mergeCell ref="C359:H359"/>
    <mergeCell ref="A338:B338"/>
    <mergeCell ref="C338:H338"/>
    <mergeCell ref="I338:W338"/>
    <mergeCell ref="X338:Z338"/>
    <mergeCell ref="AA338:AK338"/>
    <mergeCell ref="AL338:AW338"/>
    <mergeCell ref="AL336:AW336"/>
    <mergeCell ref="AX336:BG336"/>
    <mergeCell ref="A337:B337"/>
    <mergeCell ref="C337:H337"/>
    <mergeCell ref="I337:W337"/>
    <mergeCell ref="X337:Z337"/>
    <mergeCell ref="AA337:AK337"/>
    <mergeCell ref="AL337:AW337"/>
    <mergeCell ref="AX337:BG337"/>
    <mergeCell ref="X319:Z319"/>
    <mergeCell ref="A322:B322"/>
    <mergeCell ref="AA318:AK319"/>
    <mergeCell ref="A336:B336"/>
    <mergeCell ref="C336:H336"/>
    <mergeCell ref="I336:W336"/>
    <mergeCell ref="X336:Z336"/>
    <mergeCell ref="AA336:AK336"/>
    <mergeCell ref="C322:H322"/>
    <mergeCell ref="I322:W322"/>
    <mergeCell ref="AL319:AW319"/>
    <mergeCell ref="AX319:BG319"/>
    <mergeCell ref="AX322:BG322"/>
    <mergeCell ref="A323:B323"/>
    <mergeCell ref="C323:H323"/>
    <mergeCell ref="I323:BQ323"/>
    <mergeCell ref="A319:B319"/>
    <mergeCell ref="C319:H319"/>
    <mergeCell ref="I319:W319"/>
    <mergeCell ref="A320:B320"/>
    <mergeCell ref="C321:H321"/>
    <mergeCell ref="I321:BQ321"/>
    <mergeCell ref="A333:B333"/>
    <mergeCell ref="C333:H333"/>
    <mergeCell ref="I333:BQ333"/>
    <mergeCell ref="AL322:AW322"/>
    <mergeCell ref="C332:H332"/>
    <mergeCell ref="X322:Z322"/>
    <mergeCell ref="AA322:AK322"/>
    <mergeCell ref="I332:W332"/>
    <mergeCell ref="A332:B332"/>
    <mergeCell ref="A313:B313"/>
    <mergeCell ref="C313:H313"/>
    <mergeCell ref="I313:BQ313"/>
    <mergeCell ref="A314:B314"/>
    <mergeCell ref="C314:H314"/>
    <mergeCell ref="I314:BQ314"/>
    <mergeCell ref="C320:H320"/>
    <mergeCell ref="I320:BQ320"/>
    <mergeCell ref="A321:B321"/>
    <mergeCell ref="C330:H330"/>
    <mergeCell ref="A315:B315"/>
    <mergeCell ref="AX332:BG332"/>
    <mergeCell ref="C315:H315"/>
    <mergeCell ref="I315:W315"/>
    <mergeCell ref="X315:Z315"/>
    <mergeCell ref="AA315:AL315"/>
    <mergeCell ref="AM315:AW315"/>
    <mergeCell ref="AX315:BG315"/>
    <mergeCell ref="C316:H316"/>
    <mergeCell ref="I318:W318"/>
    <mergeCell ref="AX329:BG329"/>
    <mergeCell ref="X332:Z332"/>
    <mergeCell ref="AA332:AK332"/>
    <mergeCell ref="A329:B329"/>
    <mergeCell ref="C329:H329"/>
    <mergeCell ref="I329:W329"/>
    <mergeCell ref="X329:Z329"/>
    <mergeCell ref="AL332:AW332"/>
    <mergeCell ref="A330:B330"/>
    <mergeCell ref="X318:Z318"/>
    <mergeCell ref="A331:B331"/>
    <mergeCell ref="C331:H331"/>
    <mergeCell ref="I331:BQ331"/>
    <mergeCell ref="I316:BQ316"/>
    <mergeCell ref="A317:B317"/>
    <mergeCell ref="C317:H317"/>
    <mergeCell ref="I317:BQ317"/>
    <mergeCell ref="A318:B318"/>
    <mergeCell ref="C318:H318"/>
    <mergeCell ref="AM326:AW326"/>
    <mergeCell ref="AL318:AW318"/>
    <mergeCell ref="AA329:AK329"/>
    <mergeCell ref="AL329:AW329"/>
    <mergeCell ref="A312:B312"/>
    <mergeCell ref="C312:H312"/>
    <mergeCell ref="I312:BQ312"/>
    <mergeCell ref="A324:B324"/>
    <mergeCell ref="C324:H324"/>
    <mergeCell ref="I324:BQ324"/>
    <mergeCell ref="AX318:BG318"/>
    <mergeCell ref="A316:B316"/>
    <mergeCell ref="A325:B325"/>
    <mergeCell ref="C325:H325"/>
    <mergeCell ref="I325:BQ325"/>
    <mergeCell ref="A326:B326"/>
    <mergeCell ref="C326:H326"/>
    <mergeCell ref="I326:W326"/>
    <mergeCell ref="X326:Z326"/>
    <mergeCell ref="AA326:AL326"/>
    <mergeCell ref="BH310:BR310"/>
    <mergeCell ref="AX326:BG326"/>
    <mergeCell ref="AX310:BG310"/>
    <mergeCell ref="A311:B311"/>
    <mergeCell ref="C311:H311"/>
    <mergeCell ref="I311:W311"/>
    <mergeCell ref="X311:Z311"/>
    <mergeCell ref="AA311:AK311"/>
    <mergeCell ref="AL311:AW311"/>
    <mergeCell ref="AX311:BG311"/>
    <mergeCell ref="A310:B310"/>
    <mergeCell ref="C310:H310"/>
    <mergeCell ref="I310:W310"/>
    <mergeCell ref="X310:Z310"/>
    <mergeCell ref="AA310:AK310"/>
    <mergeCell ref="AL310:AW310"/>
    <mergeCell ref="A308:B308"/>
    <mergeCell ref="AX307:BG307"/>
    <mergeCell ref="A327:B327"/>
    <mergeCell ref="C327:H327"/>
    <mergeCell ref="I327:BQ327"/>
    <mergeCell ref="A328:B328"/>
    <mergeCell ref="C328:H328"/>
    <mergeCell ref="I328:BQ328"/>
    <mergeCell ref="A309:B309"/>
    <mergeCell ref="C309:H309"/>
    <mergeCell ref="A307:B307"/>
    <mergeCell ref="C307:H307"/>
    <mergeCell ref="I307:W307"/>
    <mergeCell ref="X307:Z307"/>
    <mergeCell ref="AL307:AW307"/>
    <mergeCell ref="AA306:AK307"/>
    <mergeCell ref="A302:B302"/>
    <mergeCell ref="C302:H302"/>
    <mergeCell ref="I302:BQ302"/>
    <mergeCell ref="AL306:AW306"/>
    <mergeCell ref="AX306:BG306"/>
    <mergeCell ref="A305:B305"/>
    <mergeCell ref="A306:B306"/>
    <mergeCell ref="I306:W306"/>
    <mergeCell ref="X306:Z306"/>
    <mergeCell ref="AA297:AK297"/>
    <mergeCell ref="A299:B299"/>
    <mergeCell ref="C299:H299"/>
    <mergeCell ref="I299:W299"/>
    <mergeCell ref="X299:Z299"/>
    <mergeCell ref="AA299:AK299"/>
    <mergeCell ref="A298:B298"/>
    <mergeCell ref="C298:H298"/>
    <mergeCell ref="I298:W298"/>
    <mergeCell ref="X298:Z298"/>
    <mergeCell ref="AL297:AW297"/>
    <mergeCell ref="AX297:BG297"/>
    <mergeCell ref="A303:B303"/>
    <mergeCell ref="C303:H303"/>
    <mergeCell ref="I303:W303"/>
    <mergeCell ref="X303:Z303"/>
    <mergeCell ref="AA303:AL303"/>
    <mergeCell ref="AM303:AW303"/>
    <mergeCell ref="AX303:BG303"/>
    <mergeCell ref="AA298:AK298"/>
    <mergeCell ref="A340:BQ340"/>
    <mergeCell ref="A287:B287"/>
    <mergeCell ref="C287:H287"/>
    <mergeCell ref="I287:BQ287"/>
    <mergeCell ref="A297:B297"/>
    <mergeCell ref="C297:H297"/>
    <mergeCell ref="I297:W297"/>
    <mergeCell ref="X297:Z297"/>
    <mergeCell ref="A335:B335"/>
    <mergeCell ref="C335:H335"/>
    <mergeCell ref="AA335:AK335"/>
    <mergeCell ref="AL335:AW335"/>
    <mergeCell ref="I300:BQ300"/>
    <mergeCell ref="I304:BQ304"/>
    <mergeCell ref="C305:H305"/>
    <mergeCell ref="I305:BQ305"/>
    <mergeCell ref="C306:H306"/>
    <mergeCell ref="C308:H308"/>
    <mergeCell ref="I308:BQ308"/>
    <mergeCell ref="I309:BQ309"/>
    <mergeCell ref="A334:B334"/>
    <mergeCell ref="C334:H334"/>
    <mergeCell ref="I334:BQ334"/>
    <mergeCell ref="AL299:AW299"/>
    <mergeCell ref="AX299:BG299"/>
    <mergeCell ref="A301:B301"/>
    <mergeCell ref="C301:H301"/>
    <mergeCell ref="I301:BQ301"/>
    <mergeCell ref="A304:B304"/>
    <mergeCell ref="C304:H304"/>
    <mergeCell ref="A295:B295"/>
    <mergeCell ref="C295:H295"/>
    <mergeCell ref="I295:BQ295"/>
    <mergeCell ref="A296:B296"/>
    <mergeCell ref="C296:H296"/>
    <mergeCell ref="I296:BQ296"/>
    <mergeCell ref="AL298:AW298"/>
    <mergeCell ref="AX298:BG298"/>
    <mergeCell ref="A300:B300"/>
    <mergeCell ref="C300:H300"/>
    <mergeCell ref="AL293:AW293"/>
    <mergeCell ref="AX293:BG293"/>
    <mergeCell ref="AA292:AK294"/>
    <mergeCell ref="AL294:AW294"/>
    <mergeCell ref="AX294:BG294"/>
    <mergeCell ref="A294:B294"/>
    <mergeCell ref="C294:H294"/>
    <mergeCell ref="I294:W294"/>
    <mergeCell ref="X294:Z294"/>
    <mergeCell ref="AX292:BG292"/>
    <mergeCell ref="A293:B293"/>
    <mergeCell ref="C293:H293"/>
    <mergeCell ref="I293:W293"/>
    <mergeCell ref="X293:Z293"/>
    <mergeCell ref="C290:H290"/>
    <mergeCell ref="I290:BQ290"/>
    <mergeCell ref="A291:B291"/>
    <mergeCell ref="C291:H291"/>
    <mergeCell ref="I291:BQ291"/>
    <mergeCell ref="A292:B292"/>
    <mergeCell ref="C292:H292"/>
    <mergeCell ref="I292:W292"/>
    <mergeCell ref="X292:Z292"/>
    <mergeCell ref="AL292:AW292"/>
    <mergeCell ref="A290:B290"/>
    <mergeCell ref="A288:B288"/>
    <mergeCell ref="C288:H288"/>
    <mergeCell ref="I288:BQ288"/>
    <mergeCell ref="A289:B289"/>
    <mergeCell ref="C289:H289"/>
    <mergeCell ref="I289:W289"/>
    <mergeCell ref="X289:Z289"/>
    <mergeCell ref="AA289:AL289"/>
    <mergeCell ref="AM289:AW289"/>
    <mergeCell ref="A285:B285"/>
    <mergeCell ref="C285:H285"/>
    <mergeCell ref="I285:BQ285"/>
    <mergeCell ref="A283:B283"/>
    <mergeCell ref="C283:H283"/>
    <mergeCell ref="A286:B286"/>
    <mergeCell ref="C286:H286"/>
    <mergeCell ref="I286:BQ286"/>
    <mergeCell ref="AX283:BG283"/>
    <mergeCell ref="A284:B284"/>
    <mergeCell ref="C284:H284"/>
    <mergeCell ref="I284:BQ284"/>
    <mergeCell ref="BH445:BR445"/>
    <mergeCell ref="A279:B279"/>
    <mergeCell ref="I283:W283"/>
    <mergeCell ref="X283:Z283"/>
    <mergeCell ref="AA283:AL283"/>
    <mergeCell ref="AM283:AW283"/>
    <mergeCell ref="A281:B281"/>
    <mergeCell ref="C281:H281"/>
    <mergeCell ref="A282:B282"/>
    <mergeCell ref="C282:H282"/>
    <mergeCell ref="A280:B280"/>
    <mergeCell ref="C280:H280"/>
    <mergeCell ref="I280:W280"/>
    <mergeCell ref="X280:Z280"/>
    <mergeCell ref="AM280:AW280"/>
    <mergeCell ref="AX280:BG280"/>
    <mergeCell ref="C279:H279"/>
    <mergeCell ref="I279:W279"/>
    <mergeCell ref="X279:Z279"/>
    <mergeCell ref="AA279:AL280"/>
    <mergeCell ref="AM279:AW279"/>
    <mergeCell ref="AX279:BG279"/>
    <mergeCell ref="BH276:BR276"/>
    <mergeCell ref="AX276:BG276"/>
    <mergeCell ref="A277:B277"/>
    <mergeCell ref="C277:H277"/>
    <mergeCell ref="I277:BQ277"/>
    <mergeCell ref="A278:B278"/>
    <mergeCell ref="C278:H278"/>
    <mergeCell ref="I278:BQ278"/>
    <mergeCell ref="A276:B276"/>
    <mergeCell ref="C276:H276"/>
    <mergeCell ref="I276:W276"/>
    <mergeCell ref="X276:Z276"/>
    <mergeCell ref="AA276:AL276"/>
    <mergeCell ref="AM276:AW276"/>
    <mergeCell ref="A274:B274"/>
    <mergeCell ref="C274:H274"/>
    <mergeCell ref="I274:BQ274"/>
    <mergeCell ref="A275:B275"/>
    <mergeCell ref="C275:H275"/>
    <mergeCell ref="I275:BQ275"/>
    <mergeCell ref="A271:B271"/>
    <mergeCell ref="C271:H271"/>
    <mergeCell ref="A273:B273"/>
    <mergeCell ref="C273:H273"/>
    <mergeCell ref="I273:BQ273"/>
    <mergeCell ref="BH271:BR271"/>
    <mergeCell ref="I270:BQ270"/>
    <mergeCell ref="AX271:BG271"/>
    <mergeCell ref="A272:B272"/>
    <mergeCell ref="C272:H272"/>
    <mergeCell ref="I272:BQ272"/>
    <mergeCell ref="BH448:BR448"/>
    <mergeCell ref="X363:Z363"/>
    <mergeCell ref="AA363:AK363"/>
    <mergeCell ref="AL363:AW363"/>
    <mergeCell ref="AX363:BG363"/>
    <mergeCell ref="A267:B267"/>
    <mergeCell ref="I271:W271"/>
    <mergeCell ref="X271:Z271"/>
    <mergeCell ref="AA271:AL271"/>
    <mergeCell ref="AM271:AW271"/>
    <mergeCell ref="A269:B269"/>
    <mergeCell ref="C269:H269"/>
    <mergeCell ref="I269:BQ269"/>
    <mergeCell ref="A270:B270"/>
    <mergeCell ref="C270:H270"/>
    <mergeCell ref="A268:B268"/>
    <mergeCell ref="C268:H268"/>
    <mergeCell ref="I268:W268"/>
    <mergeCell ref="X268:Z268"/>
    <mergeCell ref="AM268:AW268"/>
    <mergeCell ref="AX268:BG268"/>
    <mergeCell ref="C267:H267"/>
    <mergeCell ref="I267:W267"/>
    <mergeCell ref="X267:Z267"/>
    <mergeCell ref="AA267:AL268"/>
    <mergeCell ref="AM267:AW267"/>
    <mergeCell ref="AX267:BG267"/>
    <mergeCell ref="A265:B265"/>
    <mergeCell ref="C265:H265"/>
    <mergeCell ref="I265:BQ265"/>
    <mergeCell ref="A266:B266"/>
    <mergeCell ref="C266:H266"/>
    <mergeCell ref="I266:BQ266"/>
    <mergeCell ref="A264:B264"/>
    <mergeCell ref="C264:H264"/>
    <mergeCell ref="I264:W264"/>
    <mergeCell ref="X264:Z264"/>
    <mergeCell ref="AA264:AL264"/>
    <mergeCell ref="AM264:AW264"/>
    <mergeCell ref="A261:B261"/>
    <mergeCell ref="C261:H261"/>
    <mergeCell ref="I261:BQ261"/>
    <mergeCell ref="A259:B259"/>
    <mergeCell ref="C259:H259"/>
    <mergeCell ref="A263:B263"/>
    <mergeCell ref="C263:H263"/>
    <mergeCell ref="I263:BQ263"/>
    <mergeCell ref="A262:B262"/>
    <mergeCell ref="C262:H262"/>
    <mergeCell ref="A260:B260"/>
    <mergeCell ref="C260:H260"/>
    <mergeCell ref="I260:BQ260"/>
    <mergeCell ref="BH451:BR451"/>
    <mergeCell ref="A255:B255"/>
    <mergeCell ref="I259:W259"/>
    <mergeCell ref="X259:Z259"/>
    <mergeCell ref="AA259:AL259"/>
    <mergeCell ref="AM259:AW259"/>
    <mergeCell ref="A257:B257"/>
    <mergeCell ref="C257:H257"/>
    <mergeCell ref="I257:BQ257"/>
    <mergeCell ref="A258:B258"/>
    <mergeCell ref="C258:H258"/>
    <mergeCell ref="A256:B256"/>
    <mergeCell ref="C256:H256"/>
    <mergeCell ref="I256:W256"/>
    <mergeCell ref="X256:Z256"/>
    <mergeCell ref="AM256:AW256"/>
    <mergeCell ref="AX256:BG256"/>
    <mergeCell ref="C255:H255"/>
    <mergeCell ref="I255:W255"/>
    <mergeCell ref="X255:Z255"/>
    <mergeCell ref="AA255:AL256"/>
    <mergeCell ref="AM255:AW255"/>
    <mergeCell ref="AX255:BG255"/>
    <mergeCell ref="BH252:BR252"/>
    <mergeCell ref="A253:B253"/>
    <mergeCell ref="C253:H253"/>
    <mergeCell ref="I253:BQ253"/>
    <mergeCell ref="A254:B254"/>
    <mergeCell ref="C254:H254"/>
    <mergeCell ref="I254:BQ254"/>
    <mergeCell ref="A251:B251"/>
    <mergeCell ref="C251:H251"/>
    <mergeCell ref="I251:BQ251"/>
    <mergeCell ref="A252:B252"/>
    <mergeCell ref="C252:H252"/>
    <mergeCell ref="I252:W252"/>
    <mergeCell ref="X252:Z252"/>
    <mergeCell ref="AA252:AL252"/>
    <mergeCell ref="AM252:AW252"/>
    <mergeCell ref="AX252:BG252"/>
    <mergeCell ref="A249:B249"/>
    <mergeCell ref="C249:H249"/>
    <mergeCell ref="I249:BQ249"/>
    <mergeCell ref="A250:B250"/>
    <mergeCell ref="C250:H250"/>
    <mergeCell ref="I250:BQ250"/>
    <mergeCell ref="A248:B248"/>
    <mergeCell ref="C248:H248"/>
    <mergeCell ref="I248:W248"/>
    <mergeCell ref="AX245:BG245"/>
    <mergeCell ref="X248:Z248"/>
    <mergeCell ref="AA248:AL248"/>
    <mergeCell ref="AM248:AW248"/>
    <mergeCell ref="A246:B246"/>
    <mergeCell ref="C246:H246"/>
    <mergeCell ref="I246:BQ246"/>
    <mergeCell ref="A247:B247"/>
    <mergeCell ref="C247:H247"/>
    <mergeCell ref="I247:BQ247"/>
    <mergeCell ref="X244:Z244"/>
    <mergeCell ref="AA244:AL245"/>
    <mergeCell ref="AM244:AW244"/>
    <mergeCell ref="A245:B245"/>
    <mergeCell ref="C245:H245"/>
    <mergeCell ref="I245:W245"/>
    <mergeCell ref="X245:Z245"/>
    <mergeCell ref="A243:B243"/>
    <mergeCell ref="C243:H243"/>
    <mergeCell ref="I243:BQ243"/>
    <mergeCell ref="A241:B241"/>
    <mergeCell ref="C241:H241"/>
    <mergeCell ref="A244:B244"/>
    <mergeCell ref="C244:H244"/>
    <mergeCell ref="I244:W244"/>
    <mergeCell ref="I241:W241"/>
    <mergeCell ref="BH244:BR244"/>
    <mergeCell ref="A240:B240"/>
    <mergeCell ref="C240:H240"/>
    <mergeCell ref="I240:BQ240"/>
    <mergeCell ref="A242:B242"/>
    <mergeCell ref="C242:H242"/>
    <mergeCell ref="I242:BQ242"/>
    <mergeCell ref="AX241:BG241"/>
    <mergeCell ref="X241:Z241"/>
    <mergeCell ref="AA241:AL241"/>
    <mergeCell ref="A238:B238"/>
    <mergeCell ref="C238:H238"/>
    <mergeCell ref="I238:BQ238"/>
    <mergeCell ref="A236:B236"/>
    <mergeCell ref="C236:H236"/>
    <mergeCell ref="A239:B239"/>
    <mergeCell ref="C239:H239"/>
    <mergeCell ref="I239:BQ239"/>
    <mergeCell ref="AX236:BG236"/>
    <mergeCell ref="A237:B237"/>
    <mergeCell ref="C237:H237"/>
    <mergeCell ref="I237:BQ237"/>
    <mergeCell ref="BH456:BR456"/>
    <mergeCell ref="A232:B232"/>
    <mergeCell ref="I236:W236"/>
    <mergeCell ref="X236:Z236"/>
    <mergeCell ref="AA236:AL236"/>
    <mergeCell ref="AM236:AW236"/>
    <mergeCell ref="A234:B234"/>
    <mergeCell ref="C234:H234"/>
    <mergeCell ref="X229:Z229"/>
    <mergeCell ref="A235:B235"/>
    <mergeCell ref="C235:H235"/>
    <mergeCell ref="A233:B233"/>
    <mergeCell ref="C233:H233"/>
    <mergeCell ref="I233:W233"/>
    <mergeCell ref="X233:Z233"/>
    <mergeCell ref="C232:H232"/>
    <mergeCell ref="I232:W232"/>
    <mergeCell ref="X232:Z232"/>
    <mergeCell ref="AA232:AL233"/>
    <mergeCell ref="AM232:AW232"/>
    <mergeCell ref="AX232:BG232"/>
    <mergeCell ref="A230:B230"/>
    <mergeCell ref="C230:H230"/>
    <mergeCell ref="I230:BQ230"/>
    <mergeCell ref="A231:B231"/>
    <mergeCell ref="C231:H231"/>
    <mergeCell ref="I231:BQ231"/>
    <mergeCell ref="AA229:AL229"/>
    <mergeCell ref="AM229:AW229"/>
    <mergeCell ref="A227:B227"/>
    <mergeCell ref="C227:H227"/>
    <mergeCell ref="I227:BQ227"/>
    <mergeCell ref="BH229:BR229"/>
    <mergeCell ref="AX229:BG229"/>
    <mergeCell ref="A229:B229"/>
    <mergeCell ref="C229:H229"/>
    <mergeCell ref="I229:W229"/>
    <mergeCell ref="A228:B228"/>
    <mergeCell ref="C228:H228"/>
    <mergeCell ref="I228:BQ228"/>
    <mergeCell ref="BH225:BR225"/>
    <mergeCell ref="AX225:BG225"/>
    <mergeCell ref="A226:B226"/>
    <mergeCell ref="C226:H226"/>
    <mergeCell ref="I226:BQ226"/>
    <mergeCell ref="I225:W225"/>
    <mergeCell ref="X225:Z225"/>
    <mergeCell ref="A223:B223"/>
    <mergeCell ref="C223:H223"/>
    <mergeCell ref="I223:BQ223"/>
    <mergeCell ref="A224:B224"/>
    <mergeCell ref="A225:B225"/>
    <mergeCell ref="C225:H225"/>
    <mergeCell ref="C224:H224"/>
    <mergeCell ref="X221:Z221"/>
    <mergeCell ref="AA221:AL222"/>
    <mergeCell ref="AM221:AW221"/>
    <mergeCell ref="AX221:BG221"/>
    <mergeCell ref="A222:B222"/>
    <mergeCell ref="C222:H222"/>
    <mergeCell ref="I222:W222"/>
    <mergeCell ref="X222:Z222"/>
    <mergeCell ref="AM222:AW222"/>
    <mergeCell ref="A221:B221"/>
    <mergeCell ref="AX218:BG218"/>
    <mergeCell ref="BH222:BR222"/>
    <mergeCell ref="A219:B219"/>
    <mergeCell ref="C219:H219"/>
    <mergeCell ref="I219:BQ219"/>
    <mergeCell ref="A220:B220"/>
    <mergeCell ref="C220:H220"/>
    <mergeCell ref="I220:BQ220"/>
    <mergeCell ref="C221:H221"/>
    <mergeCell ref="I221:W221"/>
    <mergeCell ref="A218:B218"/>
    <mergeCell ref="C218:H218"/>
    <mergeCell ref="I218:W218"/>
    <mergeCell ref="X218:Z218"/>
    <mergeCell ref="AA218:AL218"/>
    <mergeCell ref="AM218:AW218"/>
    <mergeCell ref="A217:B217"/>
    <mergeCell ref="C217:H217"/>
    <mergeCell ref="I217:BQ217"/>
    <mergeCell ref="BH214:BR214"/>
    <mergeCell ref="A215:B215"/>
    <mergeCell ref="C215:H215"/>
    <mergeCell ref="I215:BQ215"/>
    <mergeCell ref="A216:B216"/>
    <mergeCell ref="C216:H216"/>
    <mergeCell ref="I216:BQ216"/>
    <mergeCell ref="X214:Z214"/>
    <mergeCell ref="AA214:AL214"/>
    <mergeCell ref="AM214:AW214"/>
    <mergeCell ref="AX214:BG214"/>
    <mergeCell ref="A214:B214"/>
    <mergeCell ref="C214:H214"/>
    <mergeCell ref="I214:W214"/>
    <mergeCell ref="A212:B212"/>
    <mergeCell ref="C212:H212"/>
    <mergeCell ref="I212:BQ212"/>
    <mergeCell ref="A213:B213"/>
    <mergeCell ref="C213:H213"/>
    <mergeCell ref="I213:BQ213"/>
    <mergeCell ref="A211:B211"/>
    <mergeCell ref="C211:H211"/>
    <mergeCell ref="I211:W211"/>
    <mergeCell ref="X211:Z211"/>
    <mergeCell ref="AM211:AW211"/>
    <mergeCell ref="AX211:BG211"/>
    <mergeCell ref="A209:B209"/>
    <mergeCell ref="C209:H209"/>
    <mergeCell ref="I209:BQ209"/>
    <mergeCell ref="A210:B210"/>
    <mergeCell ref="C210:H210"/>
    <mergeCell ref="I210:W210"/>
    <mergeCell ref="X210:Z210"/>
    <mergeCell ref="AA210:AL211"/>
    <mergeCell ref="AM210:AW210"/>
    <mergeCell ref="AX210:BG210"/>
    <mergeCell ref="AM207:AW207"/>
    <mergeCell ref="AX207:BG207"/>
    <mergeCell ref="A208:B208"/>
    <mergeCell ref="C208:H208"/>
    <mergeCell ref="I208:BQ208"/>
    <mergeCell ref="A207:B207"/>
    <mergeCell ref="C207:H207"/>
    <mergeCell ref="I207:W207"/>
    <mergeCell ref="X207:Z207"/>
    <mergeCell ref="AA207:AL207"/>
    <mergeCell ref="A206:B206"/>
    <mergeCell ref="C206:H206"/>
    <mergeCell ref="I206:BQ206"/>
    <mergeCell ref="A204:B204"/>
    <mergeCell ref="C204:H204"/>
    <mergeCell ref="I204:BQ204"/>
    <mergeCell ref="A205:B205"/>
    <mergeCell ref="C205:H205"/>
    <mergeCell ref="A203:B203"/>
    <mergeCell ref="C203:H203"/>
    <mergeCell ref="I203:W203"/>
    <mergeCell ref="X203:Z203"/>
    <mergeCell ref="I205:BQ205"/>
    <mergeCell ref="AX203:BG203"/>
    <mergeCell ref="AA203:AL203"/>
    <mergeCell ref="AM203:AW203"/>
    <mergeCell ref="AX199:BG199"/>
    <mergeCell ref="A201:B201"/>
    <mergeCell ref="C201:H201"/>
    <mergeCell ref="I201:BQ201"/>
    <mergeCell ref="A202:B202"/>
    <mergeCell ref="C202:H202"/>
    <mergeCell ref="I202:BQ202"/>
    <mergeCell ref="AM200:AW200"/>
    <mergeCell ref="AX200:BG200"/>
    <mergeCell ref="A199:B199"/>
    <mergeCell ref="C199:H199"/>
    <mergeCell ref="I199:W199"/>
    <mergeCell ref="X199:Z199"/>
    <mergeCell ref="AM199:AW199"/>
    <mergeCell ref="AA199:AL200"/>
    <mergeCell ref="A200:B200"/>
    <mergeCell ref="C200:H200"/>
    <mergeCell ref="I200:W200"/>
    <mergeCell ref="X200:Z200"/>
    <mergeCell ref="AX196:BG196"/>
    <mergeCell ref="A197:B197"/>
    <mergeCell ref="C197:H197"/>
    <mergeCell ref="I197:BQ197"/>
    <mergeCell ref="A198:B198"/>
    <mergeCell ref="C198:H198"/>
    <mergeCell ref="I198:BQ198"/>
    <mergeCell ref="A196:B196"/>
    <mergeCell ref="C196:H196"/>
    <mergeCell ref="AM196:AW196"/>
    <mergeCell ref="A194:B194"/>
    <mergeCell ref="C194:H194"/>
    <mergeCell ref="I194:BQ194"/>
    <mergeCell ref="A195:B195"/>
    <mergeCell ref="C195:H195"/>
    <mergeCell ref="I195:BQ195"/>
    <mergeCell ref="A191:B191"/>
    <mergeCell ref="C191:H191"/>
    <mergeCell ref="I191:W191"/>
    <mergeCell ref="I196:W196"/>
    <mergeCell ref="X196:Z196"/>
    <mergeCell ref="AA196:AL196"/>
    <mergeCell ref="A192:B192"/>
    <mergeCell ref="C192:H192"/>
    <mergeCell ref="I192:BQ192"/>
    <mergeCell ref="A193:B193"/>
    <mergeCell ref="C193:H193"/>
    <mergeCell ref="I193:BQ193"/>
    <mergeCell ref="X191:Z191"/>
    <mergeCell ref="AA191:AL191"/>
    <mergeCell ref="AM191:AW191"/>
    <mergeCell ref="AX188:BG188"/>
    <mergeCell ref="X188:Z188"/>
    <mergeCell ref="AA188:AL188"/>
    <mergeCell ref="AM188:AW188"/>
    <mergeCell ref="AX191:BG191"/>
    <mergeCell ref="A189:B189"/>
    <mergeCell ref="C189:H189"/>
    <mergeCell ref="I189:BQ189"/>
    <mergeCell ref="A190:B190"/>
    <mergeCell ref="C190:H190"/>
    <mergeCell ref="I190:BQ190"/>
    <mergeCell ref="A188:B188"/>
    <mergeCell ref="C188:H188"/>
    <mergeCell ref="I188:W188"/>
    <mergeCell ref="A186:B186"/>
    <mergeCell ref="C186:H186"/>
    <mergeCell ref="I186:BQ186"/>
    <mergeCell ref="A187:B187"/>
    <mergeCell ref="C187:H187"/>
    <mergeCell ref="I187:BQ187"/>
    <mergeCell ref="I184:BQ184"/>
    <mergeCell ref="A185:B185"/>
    <mergeCell ref="C185:H185"/>
    <mergeCell ref="I185:W185"/>
    <mergeCell ref="X185:Z185"/>
    <mergeCell ref="AA185:AL185"/>
    <mergeCell ref="AM185:AW185"/>
    <mergeCell ref="AX185:BG185"/>
    <mergeCell ref="BH185:BR185"/>
    <mergeCell ref="A184:B184"/>
    <mergeCell ref="A182:B182"/>
    <mergeCell ref="C182:H182"/>
    <mergeCell ref="I182:BQ182"/>
    <mergeCell ref="A183:B183"/>
    <mergeCell ref="C183:H183"/>
    <mergeCell ref="I183:BQ183"/>
    <mergeCell ref="C184:H184"/>
    <mergeCell ref="A181:B181"/>
    <mergeCell ref="C181:H181"/>
    <mergeCell ref="I181:BQ181"/>
    <mergeCell ref="A172:B172"/>
    <mergeCell ref="C172:H172"/>
    <mergeCell ref="I172:BQ172"/>
    <mergeCell ref="A180:B180"/>
    <mergeCell ref="C180:H180"/>
    <mergeCell ref="BH180:BR180"/>
    <mergeCell ref="X180:Z180"/>
    <mergeCell ref="AA180:AL180"/>
    <mergeCell ref="AM180:AW180"/>
    <mergeCell ref="AX177:BG177"/>
    <mergeCell ref="AX180:BG180"/>
    <mergeCell ref="I177:W177"/>
    <mergeCell ref="X177:Z177"/>
    <mergeCell ref="AA177:AL177"/>
    <mergeCell ref="AM177:AW177"/>
    <mergeCell ref="A178:B178"/>
    <mergeCell ref="C178:H178"/>
    <mergeCell ref="I178:BQ178"/>
    <mergeCell ref="A179:B179"/>
    <mergeCell ref="C179:H179"/>
    <mergeCell ref="I179:BQ179"/>
    <mergeCell ref="A176:B176"/>
    <mergeCell ref="C176:H176"/>
    <mergeCell ref="I176:BQ176"/>
    <mergeCell ref="A174:B174"/>
    <mergeCell ref="C174:H174"/>
    <mergeCell ref="I174:W174"/>
    <mergeCell ref="C173:H173"/>
    <mergeCell ref="I173:BQ173"/>
    <mergeCell ref="AX174:BG174"/>
    <mergeCell ref="A175:B175"/>
    <mergeCell ref="C175:H175"/>
    <mergeCell ref="I175:BQ175"/>
    <mergeCell ref="X174:Z174"/>
    <mergeCell ref="AA174:AL174"/>
    <mergeCell ref="AM174:AW174"/>
    <mergeCell ref="A173:B173"/>
    <mergeCell ref="A462:B462"/>
    <mergeCell ref="I462:BQ462"/>
    <mergeCell ref="BH26:BR26"/>
    <mergeCell ref="BH19:BR19"/>
    <mergeCell ref="A84:B84"/>
    <mergeCell ref="A85:B85"/>
    <mergeCell ref="I85:W85"/>
    <mergeCell ref="A171:B171"/>
    <mergeCell ref="C171:H171"/>
    <mergeCell ref="I171:BQ171"/>
    <mergeCell ref="C549:H549"/>
    <mergeCell ref="I549:BQ549"/>
    <mergeCell ref="BH13:BR13"/>
    <mergeCell ref="I14:BR14"/>
    <mergeCell ref="I16:BR16"/>
    <mergeCell ref="I17:BR17"/>
    <mergeCell ref="BH18:BR18"/>
    <mergeCell ref="C83:H83"/>
    <mergeCell ref="C73:H73"/>
    <mergeCell ref="I73:BQ73"/>
    <mergeCell ref="I553:W553"/>
    <mergeCell ref="X553:Z553"/>
    <mergeCell ref="BH20:BR20"/>
    <mergeCell ref="I21:BR21"/>
    <mergeCell ref="I22:BR22"/>
    <mergeCell ref="BH23:BR23"/>
    <mergeCell ref="I24:BR24"/>
    <mergeCell ref="I25:BR25"/>
    <mergeCell ref="BH29:BR29"/>
    <mergeCell ref="I180:W180"/>
    <mergeCell ref="C551:H551"/>
    <mergeCell ref="I551:W551"/>
    <mergeCell ref="X551:Z551"/>
    <mergeCell ref="X535:Z535"/>
    <mergeCell ref="A536:B536"/>
    <mergeCell ref="C536:H536"/>
    <mergeCell ref="I536:BQ536"/>
    <mergeCell ref="I548:W548"/>
    <mergeCell ref="AA551:AK551"/>
    <mergeCell ref="AL551:AW551"/>
    <mergeCell ref="I460:BQ460"/>
    <mergeCell ref="A459:B459"/>
    <mergeCell ref="I459:W459"/>
    <mergeCell ref="X459:Z459"/>
    <mergeCell ref="A554:B554"/>
    <mergeCell ref="C554:H554"/>
    <mergeCell ref="I554:BQ554"/>
    <mergeCell ref="A553:B553"/>
    <mergeCell ref="C553:H553"/>
    <mergeCell ref="A551:B551"/>
    <mergeCell ref="A460:B460"/>
    <mergeCell ref="C460:H460"/>
    <mergeCell ref="A445:B445"/>
    <mergeCell ref="C445:H445"/>
    <mergeCell ref="I445:W445"/>
    <mergeCell ref="A457:B457"/>
    <mergeCell ref="C457:H457"/>
    <mergeCell ref="I457:BQ457"/>
    <mergeCell ref="AX445:BG445"/>
    <mergeCell ref="X445:Z445"/>
    <mergeCell ref="A348:B348"/>
    <mergeCell ref="C348:H348"/>
    <mergeCell ref="I348:W348"/>
    <mergeCell ref="X348:Z348"/>
    <mergeCell ref="A363:B363"/>
    <mergeCell ref="C363:H363"/>
    <mergeCell ref="I363:W363"/>
    <mergeCell ref="I359:W359"/>
    <mergeCell ref="A159:B159"/>
    <mergeCell ref="AX152:BG152"/>
    <mergeCell ref="A152:B152"/>
    <mergeCell ref="C152:H152"/>
    <mergeCell ref="I152:W152"/>
    <mergeCell ref="X152:Z152"/>
    <mergeCell ref="A157:BQ157"/>
    <mergeCell ref="C154:H154"/>
    <mergeCell ref="I154:BQ154"/>
    <mergeCell ref="AA152:AL152"/>
    <mergeCell ref="AM152:AW152"/>
    <mergeCell ref="A158:B158"/>
    <mergeCell ref="C158:H158"/>
    <mergeCell ref="I158:BQ158"/>
    <mergeCell ref="C159:H159"/>
    <mergeCell ref="I159:W159"/>
    <mergeCell ref="AX159:BG159"/>
    <mergeCell ref="AM155:AW155"/>
    <mergeCell ref="AX155:BG155"/>
    <mergeCell ref="X155:Z155"/>
    <mergeCell ref="A149:B149"/>
    <mergeCell ref="A156:B156"/>
    <mergeCell ref="C156:H156"/>
    <mergeCell ref="I156:W156"/>
    <mergeCell ref="A155:B155"/>
    <mergeCell ref="C155:H155"/>
    <mergeCell ref="I155:W155"/>
    <mergeCell ref="A154:B154"/>
    <mergeCell ref="AA155:AL156"/>
    <mergeCell ref="AX156:BG156"/>
    <mergeCell ref="X156:Z156"/>
    <mergeCell ref="AM156:AW156"/>
    <mergeCell ref="X163:Z163"/>
    <mergeCell ref="AA163:AL163"/>
    <mergeCell ref="AM163:AW163"/>
    <mergeCell ref="X159:Z159"/>
    <mergeCell ref="AA159:AL159"/>
    <mergeCell ref="AM159:AW159"/>
    <mergeCell ref="AX163:BG163"/>
    <mergeCell ref="A161:B161"/>
    <mergeCell ref="C161:H161"/>
    <mergeCell ref="I161:BQ161"/>
    <mergeCell ref="A162:B162"/>
    <mergeCell ref="C162:H162"/>
    <mergeCell ref="I162:BQ162"/>
    <mergeCell ref="A163:B163"/>
    <mergeCell ref="C163:H163"/>
    <mergeCell ref="I163:W163"/>
    <mergeCell ref="A160:B160"/>
    <mergeCell ref="C160:H160"/>
    <mergeCell ref="I160:BQ160"/>
    <mergeCell ref="A150:B150"/>
    <mergeCell ref="C150:H150"/>
    <mergeCell ref="I150:BQ150"/>
    <mergeCell ref="A151:B151"/>
    <mergeCell ref="C151:H151"/>
    <mergeCell ref="I151:BQ151"/>
    <mergeCell ref="A153:BQ153"/>
    <mergeCell ref="AA148:AL148"/>
    <mergeCell ref="AM148:AW148"/>
    <mergeCell ref="AX148:BG148"/>
    <mergeCell ref="A148:B148"/>
    <mergeCell ref="C148:H148"/>
    <mergeCell ref="I148:W148"/>
    <mergeCell ref="X148:Z148"/>
    <mergeCell ref="AX146:BG146"/>
    <mergeCell ref="A147:B147"/>
    <mergeCell ref="C147:H147"/>
    <mergeCell ref="I147:BQ147"/>
    <mergeCell ref="I146:W146"/>
    <mergeCell ref="X146:Z146"/>
    <mergeCell ref="AA146:AL146"/>
    <mergeCell ref="AM146:AW146"/>
    <mergeCell ref="BH146:BR146"/>
    <mergeCell ref="A144:B144"/>
    <mergeCell ref="C144:H144"/>
    <mergeCell ref="I144:BQ144"/>
    <mergeCell ref="C149:H149"/>
    <mergeCell ref="I149:BQ149"/>
    <mergeCell ref="A145:B145"/>
    <mergeCell ref="C145:H145"/>
    <mergeCell ref="I145:BQ145"/>
    <mergeCell ref="A146:B146"/>
    <mergeCell ref="C146:H146"/>
    <mergeCell ref="A141:B141"/>
    <mergeCell ref="C141:H141"/>
    <mergeCell ref="I141:BQ141"/>
    <mergeCell ref="AA143:AL143"/>
    <mergeCell ref="AM143:AW143"/>
    <mergeCell ref="AX143:BG143"/>
    <mergeCell ref="A143:B143"/>
    <mergeCell ref="C143:H143"/>
    <mergeCell ref="I143:W143"/>
    <mergeCell ref="X143:Z143"/>
    <mergeCell ref="A99:B99"/>
    <mergeCell ref="C99:H99"/>
    <mergeCell ref="A103:B103"/>
    <mergeCell ref="BH143:BR143"/>
    <mergeCell ref="A139:B139"/>
    <mergeCell ref="C139:H139"/>
    <mergeCell ref="I139:BQ139"/>
    <mergeCell ref="A142:B142"/>
    <mergeCell ref="C142:H142"/>
    <mergeCell ref="I142:BQ142"/>
    <mergeCell ref="A80:B80"/>
    <mergeCell ref="C80:H80"/>
    <mergeCell ref="A96:B96"/>
    <mergeCell ref="C96:H96"/>
    <mergeCell ref="A81:B81"/>
    <mergeCell ref="C81:H81"/>
    <mergeCell ref="A83:B83"/>
    <mergeCell ref="A94:B94"/>
    <mergeCell ref="C94:H94"/>
    <mergeCell ref="AM97:AW97"/>
    <mergeCell ref="AX97:BG97"/>
    <mergeCell ref="AX100:BG100"/>
    <mergeCell ref="I104:BR104"/>
    <mergeCell ref="I105:BR105"/>
    <mergeCell ref="C140:H140"/>
    <mergeCell ref="C87:H87"/>
    <mergeCell ref="X85:Z85"/>
    <mergeCell ref="AA85:AL85"/>
    <mergeCell ref="C88:H88"/>
    <mergeCell ref="BH91:BR91"/>
    <mergeCell ref="A86:BR86"/>
    <mergeCell ref="I87:BR87"/>
    <mergeCell ref="A89:BR89"/>
    <mergeCell ref="AM85:AW85"/>
    <mergeCell ref="AX85:BG85"/>
    <mergeCell ref="C84:H84"/>
    <mergeCell ref="C85:H85"/>
    <mergeCell ref="I84:BR84"/>
    <mergeCell ref="I80:BR80"/>
    <mergeCell ref="I81:BR81"/>
    <mergeCell ref="I82:BR82"/>
    <mergeCell ref="BH85:BR85"/>
    <mergeCell ref="AX434:BG434"/>
    <mergeCell ref="BH42:BR42"/>
    <mergeCell ref="I545:BQ545"/>
    <mergeCell ref="I439:W439"/>
    <mergeCell ref="I437:W437"/>
    <mergeCell ref="X100:Z100"/>
    <mergeCell ref="AA100:AL100"/>
    <mergeCell ref="I140:BQ140"/>
    <mergeCell ref="I97:W97"/>
    <mergeCell ref="I27:BR27"/>
    <mergeCell ref="I28:BR28"/>
    <mergeCell ref="A77:BQ77"/>
    <mergeCell ref="A78:B78"/>
    <mergeCell ref="A76:B76"/>
    <mergeCell ref="C76:H76"/>
    <mergeCell ref="A73:B73"/>
    <mergeCell ref="BH469:BR469"/>
    <mergeCell ref="BH472:BR472"/>
    <mergeCell ref="BH474:BR474"/>
    <mergeCell ref="A550:B550"/>
    <mergeCell ref="C550:H550"/>
    <mergeCell ref="I550:BQ550"/>
    <mergeCell ref="X548:Z548"/>
    <mergeCell ref="AL548:AW548"/>
    <mergeCell ref="C548:H548"/>
    <mergeCell ref="A549:B549"/>
    <mergeCell ref="I463:BQ463"/>
    <mergeCell ref="X439:Z439"/>
    <mergeCell ref="AA439:AK439"/>
    <mergeCell ref="AL439:AW439"/>
    <mergeCell ref="AA445:AL445"/>
    <mergeCell ref="C552:H552"/>
    <mergeCell ref="I552:BQ552"/>
    <mergeCell ref="AX548:BG548"/>
    <mergeCell ref="AX551:BG551"/>
    <mergeCell ref="BH461:BR461"/>
    <mergeCell ref="I438:BQ438"/>
    <mergeCell ref="A437:B437"/>
    <mergeCell ref="C437:H437"/>
    <mergeCell ref="A435:B435"/>
    <mergeCell ref="X437:Z437"/>
    <mergeCell ref="AA437:AK437"/>
    <mergeCell ref="AL437:AW437"/>
    <mergeCell ref="AX437:BG437"/>
    <mergeCell ref="A438:B438"/>
    <mergeCell ref="AA461:AK461"/>
    <mergeCell ref="AL461:AW461"/>
    <mergeCell ref="AX461:BG461"/>
    <mergeCell ref="A461:B461"/>
    <mergeCell ref="C435:H435"/>
    <mergeCell ref="I435:BQ435"/>
    <mergeCell ref="A436:B436"/>
    <mergeCell ref="C436:H436"/>
    <mergeCell ref="I436:BQ436"/>
    <mergeCell ref="C438:H438"/>
    <mergeCell ref="A434:B434"/>
    <mergeCell ref="C434:H434"/>
    <mergeCell ref="I434:W434"/>
    <mergeCell ref="X434:Z434"/>
    <mergeCell ref="AA434:AL434"/>
    <mergeCell ref="AM434:AW434"/>
    <mergeCell ref="A433:B433"/>
    <mergeCell ref="C433:H433"/>
    <mergeCell ref="I433:BQ433"/>
    <mergeCell ref="BH430:BR430"/>
    <mergeCell ref="A431:B431"/>
    <mergeCell ref="C431:H431"/>
    <mergeCell ref="I431:BQ431"/>
    <mergeCell ref="A432:B432"/>
    <mergeCell ref="C432:H432"/>
    <mergeCell ref="I432:BQ432"/>
    <mergeCell ref="A430:B430"/>
    <mergeCell ref="C430:H430"/>
    <mergeCell ref="I430:W430"/>
    <mergeCell ref="A428:B428"/>
    <mergeCell ref="C428:H428"/>
    <mergeCell ref="I428:BQ428"/>
    <mergeCell ref="A429:B429"/>
    <mergeCell ref="C429:H429"/>
    <mergeCell ref="I429:BQ429"/>
    <mergeCell ref="C426:H426"/>
    <mergeCell ref="I426:BQ426"/>
    <mergeCell ref="C427:H427"/>
    <mergeCell ref="I427:W427"/>
    <mergeCell ref="X427:Z427"/>
    <mergeCell ref="AA427:AK427"/>
    <mergeCell ref="AL427:AW427"/>
    <mergeCell ref="AX427:BG427"/>
    <mergeCell ref="C425:H425"/>
    <mergeCell ref="I425:BQ425"/>
    <mergeCell ref="I375:BQ375"/>
    <mergeCell ref="C375:H375"/>
    <mergeCell ref="I374:W374"/>
    <mergeCell ref="X374:Z374"/>
    <mergeCell ref="BH386:BR386"/>
    <mergeCell ref="BH389:BR389"/>
    <mergeCell ref="BH391:BR391"/>
    <mergeCell ref="BH395:BR395"/>
    <mergeCell ref="A367:B367"/>
    <mergeCell ref="C367:H367"/>
    <mergeCell ref="AL366:AW366"/>
    <mergeCell ref="AX366:BG366"/>
    <mergeCell ref="BH366:BQ366"/>
    <mergeCell ref="I367:BQ367"/>
    <mergeCell ref="C365:H365"/>
    <mergeCell ref="I365:BQ365"/>
    <mergeCell ref="A365:B365"/>
    <mergeCell ref="C366:H366"/>
    <mergeCell ref="I366:W366"/>
    <mergeCell ref="X366:Z366"/>
    <mergeCell ref="AA366:AK366"/>
    <mergeCell ref="I361:BQ361"/>
    <mergeCell ref="A364:B364"/>
    <mergeCell ref="C364:H364"/>
    <mergeCell ref="AA362:AK362"/>
    <mergeCell ref="AL362:AW362"/>
    <mergeCell ref="AX362:BG362"/>
    <mergeCell ref="A362:B362"/>
    <mergeCell ref="C362:H362"/>
    <mergeCell ref="I362:W362"/>
    <mergeCell ref="X362:Z362"/>
    <mergeCell ref="C342:H342"/>
    <mergeCell ref="I342:BQ342"/>
    <mergeCell ref="BH343:BR343"/>
    <mergeCell ref="AM343:AW343"/>
    <mergeCell ref="A361:B361"/>
    <mergeCell ref="C361:H361"/>
    <mergeCell ref="BH348:BR348"/>
    <mergeCell ref="BH351:BR351"/>
    <mergeCell ref="BH352:BR352"/>
    <mergeCell ref="A167:B167"/>
    <mergeCell ref="C167:H167"/>
    <mergeCell ref="I167:BQ167"/>
    <mergeCell ref="A343:B343"/>
    <mergeCell ref="C343:H343"/>
    <mergeCell ref="I343:W343"/>
    <mergeCell ref="X343:Z343"/>
    <mergeCell ref="A95:B95"/>
    <mergeCell ref="C95:H95"/>
    <mergeCell ref="BH100:BR100"/>
    <mergeCell ref="C122:H122"/>
    <mergeCell ref="I122:BQ122"/>
    <mergeCell ref="AX123:BG123"/>
    <mergeCell ref="I103:W103"/>
    <mergeCell ref="C97:H97"/>
    <mergeCell ref="X97:Z97"/>
    <mergeCell ref="AA97:AL97"/>
    <mergeCell ref="X103:Z103"/>
    <mergeCell ref="AA103:AL103"/>
    <mergeCell ref="C100:H100"/>
    <mergeCell ref="AM50:AW50"/>
    <mergeCell ref="BH50:BR50"/>
    <mergeCell ref="I125:BQ125"/>
    <mergeCell ref="AM120:AW120"/>
    <mergeCell ref="AX120:BG120"/>
    <mergeCell ref="I54:BR54"/>
    <mergeCell ref="X52:Z52"/>
    <mergeCell ref="I126:W126"/>
    <mergeCell ref="AM76:AW76"/>
    <mergeCell ref="AX76:BG76"/>
    <mergeCell ref="I78:BR78"/>
    <mergeCell ref="I100:W100"/>
    <mergeCell ref="X76:Z76"/>
    <mergeCell ref="AA76:AL76"/>
    <mergeCell ref="BH76:BR76"/>
    <mergeCell ref="I76:W76"/>
    <mergeCell ref="I83:BR83"/>
    <mergeCell ref="BH72:BR72"/>
    <mergeCell ref="I75:BR75"/>
    <mergeCell ref="I79:W79"/>
    <mergeCell ref="X79:Z79"/>
    <mergeCell ref="AA79:AL79"/>
    <mergeCell ref="AM79:AW79"/>
    <mergeCell ref="AA52:AL52"/>
    <mergeCell ref="AM52:AW52"/>
    <mergeCell ref="AX52:BG52"/>
    <mergeCell ref="AX79:BG79"/>
    <mergeCell ref="BD66:BQ66"/>
    <mergeCell ref="A67:BQ67"/>
    <mergeCell ref="A68:B68"/>
    <mergeCell ref="C68:BQ68"/>
    <mergeCell ref="BH79:BR79"/>
    <mergeCell ref="I69:BR69"/>
    <mergeCell ref="AX72:BG72"/>
    <mergeCell ref="X88:Z88"/>
    <mergeCell ref="AA88:AL88"/>
    <mergeCell ref="AM88:AW88"/>
    <mergeCell ref="AX88:BG88"/>
    <mergeCell ref="A53:BQ53"/>
    <mergeCell ref="A79:B79"/>
    <mergeCell ref="A71:B71"/>
    <mergeCell ref="I70:BR70"/>
    <mergeCell ref="I71:BR71"/>
    <mergeCell ref="AX444:BG444"/>
    <mergeCell ref="I123:W123"/>
    <mergeCell ref="BH126:BR126"/>
    <mergeCell ref="C70:H70"/>
    <mergeCell ref="A74:BQ74"/>
    <mergeCell ref="A442:B442"/>
    <mergeCell ref="C442:H442"/>
    <mergeCell ref="I442:BQ442"/>
    <mergeCell ref="AA347:AK348"/>
    <mergeCell ref="A75:B75"/>
    <mergeCell ref="C27:H27"/>
    <mergeCell ref="I344:W344"/>
    <mergeCell ref="I93:BR93"/>
    <mergeCell ref="C51:H51"/>
    <mergeCell ref="I88:W88"/>
    <mergeCell ref="C52:H52"/>
    <mergeCell ref="I52:W52"/>
    <mergeCell ref="I49:BR49"/>
    <mergeCell ref="I50:W50"/>
    <mergeCell ref="X50:Z50"/>
    <mergeCell ref="AX448:BG448"/>
    <mergeCell ref="I447:BQ447"/>
    <mergeCell ref="AA448:AK448"/>
    <mergeCell ref="X13:Z13"/>
    <mergeCell ref="A444:B444"/>
    <mergeCell ref="A443:B443"/>
    <mergeCell ref="X344:Z344"/>
    <mergeCell ref="I94:BR94"/>
    <mergeCell ref="I95:BR95"/>
    <mergeCell ref="C444:H444"/>
    <mergeCell ref="AM444:AW444"/>
    <mergeCell ref="I451:W451"/>
    <mergeCell ref="X451:Z451"/>
    <mergeCell ref="AA451:AK451"/>
    <mergeCell ref="I444:W444"/>
    <mergeCell ref="AA459:AK459"/>
    <mergeCell ref="X444:Z444"/>
    <mergeCell ref="AL459:AW459"/>
    <mergeCell ref="AA444:AL444"/>
    <mergeCell ref="AM445:AW445"/>
    <mergeCell ref="A450:B450"/>
    <mergeCell ref="C450:H450"/>
    <mergeCell ref="I450:BQ450"/>
    <mergeCell ref="AL451:AW451"/>
    <mergeCell ref="AX451:BG451"/>
    <mergeCell ref="AX456:BG456"/>
    <mergeCell ref="A452:B452"/>
    <mergeCell ref="A451:B451"/>
    <mergeCell ref="C451:H451"/>
    <mergeCell ref="A448:B448"/>
    <mergeCell ref="X448:Z448"/>
    <mergeCell ref="C448:H448"/>
    <mergeCell ref="I448:W448"/>
    <mergeCell ref="C443:H443"/>
    <mergeCell ref="I443:BQ443"/>
    <mergeCell ref="A446:B446"/>
    <mergeCell ref="C446:H446"/>
    <mergeCell ref="AL448:AW448"/>
    <mergeCell ref="C447:H447"/>
    <mergeCell ref="AX348:BG348"/>
    <mergeCell ref="AX347:BG347"/>
    <mergeCell ref="X126:Z126"/>
    <mergeCell ref="I136:BQ136"/>
    <mergeCell ref="AM133:AW133"/>
    <mergeCell ref="BH344:BR344"/>
    <mergeCell ref="BH347:BR347"/>
    <mergeCell ref="AX343:BG343"/>
    <mergeCell ref="BH148:BR148"/>
    <mergeCell ref="AX344:BG344"/>
    <mergeCell ref="A136:B136"/>
    <mergeCell ref="A140:B140"/>
    <mergeCell ref="C136:H136"/>
    <mergeCell ref="C346:H346"/>
    <mergeCell ref="I346:BQ346"/>
    <mergeCell ref="AA344:AL344"/>
    <mergeCell ref="AM344:AW344"/>
    <mergeCell ref="AA343:AL343"/>
    <mergeCell ref="C341:H341"/>
    <mergeCell ref="I341:BQ341"/>
    <mergeCell ref="I368:BQ368"/>
    <mergeCell ref="I369:W369"/>
    <mergeCell ref="BH369:BR369"/>
    <mergeCell ref="C125:H125"/>
    <mergeCell ref="AL347:AW347"/>
    <mergeCell ref="A346:B346"/>
    <mergeCell ref="C368:H368"/>
    <mergeCell ref="C347:H347"/>
    <mergeCell ref="A132:B132"/>
    <mergeCell ref="AX130:BG130"/>
    <mergeCell ref="X369:Z369"/>
    <mergeCell ref="AA369:AL369"/>
    <mergeCell ref="I370:BQ370"/>
    <mergeCell ref="AA372:AK372"/>
    <mergeCell ref="AM369:AW369"/>
    <mergeCell ref="A371:B371"/>
    <mergeCell ref="C371:H371"/>
    <mergeCell ref="BH372:BR372"/>
    <mergeCell ref="AX372:BG372"/>
    <mergeCell ref="AA378:AL378"/>
    <mergeCell ref="A372:B372"/>
    <mergeCell ref="C372:H372"/>
    <mergeCell ref="A375:B375"/>
    <mergeCell ref="I372:W372"/>
    <mergeCell ref="AA374:AK374"/>
    <mergeCell ref="A376:B376"/>
    <mergeCell ref="X372:Z372"/>
    <mergeCell ref="AA424:AL424"/>
    <mergeCell ref="C408:H408"/>
    <mergeCell ref="I408:W408"/>
    <mergeCell ref="X408:Z408"/>
    <mergeCell ref="X420:Z420"/>
    <mergeCell ref="C419:H419"/>
    <mergeCell ref="I419:BQ419"/>
    <mergeCell ref="A356:B356"/>
    <mergeCell ref="C357:H357"/>
    <mergeCell ref="C358:H358"/>
    <mergeCell ref="A373:B373"/>
    <mergeCell ref="C373:H373"/>
    <mergeCell ref="A366:B366"/>
    <mergeCell ref="A370:B370"/>
    <mergeCell ref="A369:B369"/>
    <mergeCell ref="C369:H369"/>
    <mergeCell ref="A368:B368"/>
    <mergeCell ref="C370:H370"/>
    <mergeCell ref="A410:B410"/>
    <mergeCell ref="C410:H410"/>
    <mergeCell ref="A358:B358"/>
    <mergeCell ref="I358:BQ358"/>
    <mergeCell ref="C405:H405"/>
    <mergeCell ref="A374:B374"/>
    <mergeCell ref="I373:BQ373"/>
    <mergeCell ref="I391:W391"/>
    <mergeCell ref="I371:BQ371"/>
    <mergeCell ref="AX369:BG369"/>
    <mergeCell ref="AL372:AW372"/>
    <mergeCell ref="A355:B355"/>
    <mergeCell ref="A354:B354"/>
    <mergeCell ref="AX356:BG356"/>
    <mergeCell ref="C354:H354"/>
    <mergeCell ref="I354:BQ354"/>
    <mergeCell ref="C355:H355"/>
    <mergeCell ref="I355:BQ355"/>
    <mergeCell ref="X356:Z356"/>
    <mergeCell ref="AM356:AW356"/>
    <mergeCell ref="I90:BR90"/>
    <mergeCell ref="AA91:AL91"/>
    <mergeCell ref="AM91:AW91"/>
    <mergeCell ref="AX91:BG91"/>
    <mergeCell ref="C356:H356"/>
    <mergeCell ref="I356:W356"/>
    <mergeCell ref="AA126:AL126"/>
    <mergeCell ref="C132:H132"/>
    <mergeCell ref="AL348:AW348"/>
    <mergeCell ref="I132:BQ132"/>
    <mergeCell ref="BH97:BR97"/>
    <mergeCell ref="AM100:AW100"/>
    <mergeCell ref="AM103:AW103"/>
    <mergeCell ref="AX103:BG103"/>
    <mergeCell ref="A90:B90"/>
    <mergeCell ref="C90:H90"/>
    <mergeCell ref="A91:B91"/>
    <mergeCell ref="C91:H91"/>
    <mergeCell ref="I91:W91"/>
    <mergeCell ref="X91:Z91"/>
    <mergeCell ref="X351:Z351"/>
    <mergeCell ref="BH103:BR103"/>
    <mergeCell ref="A98:BR98"/>
    <mergeCell ref="I99:BR99"/>
    <mergeCell ref="A101:BR101"/>
    <mergeCell ref="I102:BR102"/>
    <mergeCell ref="A131:BQ131"/>
    <mergeCell ref="BH130:BR130"/>
    <mergeCell ref="BH133:BR133"/>
    <mergeCell ref="A347:B347"/>
    <mergeCell ref="A123:B123"/>
    <mergeCell ref="C123:H123"/>
    <mergeCell ref="AM130:AW130"/>
    <mergeCell ref="I350:BQ350"/>
    <mergeCell ref="C349:H349"/>
    <mergeCell ref="I349:BQ349"/>
    <mergeCell ref="A126:B126"/>
    <mergeCell ref="C126:H126"/>
    <mergeCell ref="I347:W347"/>
    <mergeCell ref="X347:Z347"/>
    <mergeCell ref="A128:B128"/>
    <mergeCell ref="C129:H129"/>
    <mergeCell ref="I129:BQ129"/>
    <mergeCell ref="A130:B130"/>
    <mergeCell ref="A129:B129"/>
    <mergeCell ref="I130:W130"/>
    <mergeCell ref="BH134:BR134"/>
    <mergeCell ref="X134:Z134"/>
    <mergeCell ref="AM134:AW134"/>
    <mergeCell ref="C120:H120"/>
    <mergeCell ref="I120:W120"/>
    <mergeCell ref="A119:B119"/>
    <mergeCell ref="X130:Z130"/>
    <mergeCell ref="C128:H128"/>
    <mergeCell ref="I128:BQ128"/>
    <mergeCell ref="C130:H130"/>
    <mergeCell ref="A120:B120"/>
    <mergeCell ref="AA130:AL130"/>
    <mergeCell ref="AM123:AW123"/>
    <mergeCell ref="AX134:BG134"/>
    <mergeCell ref="BH137:BR137"/>
    <mergeCell ref="AA133:AL134"/>
    <mergeCell ref="AX133:BG133"/>
    <mergeCell ref="BH152:BR152"/>
    <mergeCell ref="BH155:BR155"/>
    <mergeCell ref="I138:BQ138"/>
    <mergeCell ref="AA137:AL137"/>
    <mergeCell ref="AM137:AW137"/>
    <mergeCell ref="AX137:BG137"/>
    <mergeCell ref="BH156:BR156"/>
    <mergeCell ref="A104:B104"/>
    <mergeCell ref="A100:B100"/>
    <mergeCell ref="A102:B102"/>
    <mergeCell ref="A105:B105"/>
    <mergeCell ref="C105:H105"/>
    <mergeCell ref="C104:H104"/>
    <mergeCell ref="A133:B133"/>
    <mergeCell ref="A138:B138"/>
    <mergeCell ref="C138:H138"/>
    <mergeCell ref="A97:B97"/>
    <mergeCell ref="C103:H103"/>
    <mergeCell ref="C102:H102"/>
    <mergeCell ref="X133:Z133"/>
    <mergeCell ref="A111:B111"/>
    <mergeCell ref="C111:H111"/>
    <mergeCell ref="A109:B109"/>
    <mergeCell ref="I133:W133"/>
    <mergeCell ref="C119:H119"/>
    <mergeCell ref="A115:B115"/>
    <mergeCell ref="C79:H79"/>
    <mergeCell ref="A70:B70"/>
    <mergeCell ref="AM72:AW72"/>
    <mergeCell ref="C75:H75"/>
    <mergeCell ref="C71:H71"/>
    <mergeCell ref="A72:B72"/>
    <mergeCell ref="C78:H78"/>
    <mergeCell ref="X72:Z72"/>
    <mergeCell ref="AA72:AL72"/>
    <mergeCell ref="U63:AH63"/>
    <mergeCell ref="C65:BQ65"/>
    <mergeCell ref="AI66:AS66"/>
    <mergeCell ref="AT66:BC66"/>
    <mergeCell ref="A65:B65"/>
    <mergeCell ref="A82:B82"/>
    <mergeCell ref="C82:H82"/>
    <mergeCell ref="A69:B69"/>
    <mergeCell ref="C69:H69"/>
    <mergeCell ref="C72:H72"/>
    <mergeCell ref="A62:B62"/>
    <mergeCell ref="C62:BQ62"/>
    <mergeCell ref="AI63:AS63"/>
    <mergeCell ref="AT63:BC63"/>
    <mergeCell ref="BD63:BQ63"/>
    <mergeCell ref="A66:B66"/>
    <mergeCell ref="C66:Q66"/>
    <mergeCell ref="R66:T66"/>
    <mergeCell ref="U66:AH66"/>
    <mergeCell ref="R63:T63"/>
    <mergeCell ref="A52:B52"/>
    <mergeCell ref="A64:BQ64"/>
    <mergeCell ref="A63:B63"/>
    <mergeCell ref="C63:Q63"/>
    <mergeCell ref="A58:B58"/>
    <mergeCell ref="C58:BQ58"/>
    <mergeCell ref="A59:B59"/>
    <mergeCell ref="C59:BQ59"/>
    <mergeCell ref="AI60:AS60"/>
    <mergeCell ref="A61:BQ61"/>
    <mergeCell ref="A57:B57"/>
    <mergeCell ref="C57:H57"/>
    <mergeCell ref="AT60:BC60"/>
    <mergeCell ref="BD60:BQ60"/>
    <mergeCell ref="A60:B60"/>
    <mergeCell ref="I57:BQ57"/>
    <mergeCell ref="C60:Q60"/>
    <mergeCell ref="AM55:AW55"/>
    <mergeCell ref="AX55:BG55"/>
    <mergeCell ref="I26:W26"/>
    <mergeCell ref="AX50:BG50"/>
    <mergeCell ref="I51:BR51"/>
    <mergeCell ref="BH52:BR52"/>
    <mergeCell ref="BH55:BR55"/>
    <mergeCell ref="I48:BR48"/>
    <mergeCell ref="AM29:AW29"/>
    <mergeCell ref="AA50:AL50"/>
    <mergeCell ref="AX13:BG13"/>
    <mergeCell ref="A24:B24"/>
    <mergeCell ref="C21:H21"/>
    <mergeCell ref="A23:B23"/>
    <mergeCell ref="C14:H14"/>
    <mergeCell ref="C23:H23"/>
    <mergeCell ref="I56:BQ56"/>
    <mergeCell ref="A55:B55"/>
    <mergeCell ref="C55:H55"/>
    <mergeCell ref="A22:B22"/>
    <mergeCell ref="AX42:BG42"/>
    <mergeCell ref="A26:B26"/>
    <mergeCell ref="C26:H26"/>
    <mergeCell ref="A25:B25"/>
    <mergeCell ref="C24:H24"/>
    <mergeCell ref="AA55:AL55"/>
    <mergeCell ref="C11:H12"/>
    <mergeCell ref="AM18:AW18"/>
    <mergeCell ref="AM13:AW13"/>
    <mergeCell ref="AA13:AL13"/>
    <mergeCell ref="C18:H18"/>
    <mergeCell ref="C16:H16"/>
    <mergeCell ref="C13:H13"/>
    <mergeCell ref="I11:W12"/>
    <mergeCell ref="C15:H15"/>
    <mergeCell ref="I15:BR15"/>
    <mergeCell ref="C22:H22"/>
    <mergeCell ref="A19:B19"/>
    <mergeCell ref="I13:W13"/>
    <mergeCell ref="A17:B17"/>
    <mergeCell ref="I19:W19"/>
    <mergeCell ref="X19:Z19"/>
    <mergeCell ref="I20:W20"/>
    <mergeCell ref="X20:Z20"/>
    <mergeCell ref="AX18:BG18"/>
    <mergeCell ref="AX23:BG23"/>
    <mergeCell ref="AM19:AW19"/>
    <mergeCell ref="A18:B18"/>
    <mergeCell ref="A16:B16"/>
    <mergeCell ref="I18:W18"/>
    <mergeCell ref="A20:B20"/>
    <mergeCell ref="A21:B21"/>
    <mergeCell ref="C28:H28"/>
    <mergeCell ref="A11:B12"/>
    <mergeCell ref="X18:Z18"/>
    <mergeCell ref="AA18:AL18"/>
    <mergeCell ref="C20:H20"/>
    <mergeCell ref="A51:B51"/>
    <mergeCell ref="X11:Z12"/>
    <mergeCell ref="A14:B14"/>
    <mergeCell ref="A13:B13"/>
    <mergeCell ref="A15:B15"/>
    <mergeCell ref="A48:B48"/>
    <mergeCell ref="C48:H48"/>
    <mergeCell ref="X55:Z55"/>
    <mergeCell ref="C29:H29"/>
    <mergeCell ref="X29:Z29"/>
    <mergeCell ref="A50:B50"/>
    <mergeCell ref="C50:H50"/>
    <mergeCell ref="C49:H49"/>
    <mergeCell ref="A49:B49"/>
    <mergeCell ref="I29:W29"/>
    <mergeCell ref="AA553:AK553"/>
    <mergeCell ref="AL553:AW553"/>
    <mergeCell ref="AX553:BG553"/>
    <mergeCell ref="I96:BR96"/>
    <mergeCell ref="AX19:BG19"/>
    <mergeCell ref="AA19:AL20"/>
    <mergeCell ref="I72:W72"/>
    <mergeCell ref="X26:Z26"/>
    <mergeCell ref="AA26:AL26"/>
    <mergeCell ref="AM20:AW20"/>
    <mergeCell ref="AA548:AK548"/>
    <mergeCell ref="I107:BR107"/>
    <mergeCell ref="I108:BR108"/>
    <mergeCell ref="BH109:BR109"/>
    <mergeCell ref="I455:BQ455"/>
    <mergeCell ref="AX29:BG29"/>
    <mergeCell ref="I106:BR106"/>
    <mergeCell ref="I33:W33"/>
    <mergeCell ref="I55:W55"/>
    <mergeCell ref="R60:T60"/>
    <mergeCell ref="A546:B546"/>
    <mergeCell ref="A56:B56"/>
    <mergeCell ref="C17:H17"/>
    <mergeCell ref="I453:BQ453"/>
    <mergeCell ref="C545:H545"/>
    <mergeCell ref="C56:H56"/>
    <mergeCell ref="C54:H54"/>
    <mergeCell ref="C19:H19"/>
    <mergeCell ref="AX20:BG20"/>
    <mergeCell ref="C33:H33"/>
    <mergeCell ref="AX351:BG351"/>
    <mergeCell ref="C351:H351"/>
    <mergeCell ref="I351:W351"/>
    <mergeCell ref="C547:H547"/>
    <mergeCell ref="A545:B545"/>
    <mergeCell ref="A548:B548"/>
    <mergeCell ref="C458:H458"/>
    <mergeCell ref="A547:B547"/>
    <mergeCell ref="A458:B458"/>
    <mergeCell ref="C461:H461"/>
    <mergeCell ref="C454:H454"/>
    <mergeCell ref="AA420:AK420"/>
    <mergeCell ref="AL420:AW420"/>
    <mergeCell ref="C452:H452"/>
    <mergeCell ref="I452:BQ452"/>
    <mergeCell ref="C453:H453"/>
    <mergeCell ref="C422:H422"/>
    <mergeCell ref="C424:H424"/>
    <mergeCell ref="I424:W424"/>
    <mergeCell ref="X424:Z424"/>
    <mergeCell ref="AV558:BG558"/>
    <mergeCell ref="AV557:BG557"/>
    <mergeCell ref="BH482:BR482"/>
    <mergeCell ref="V558:AA558"/>
    <mergeCell ref="AK557:AP557"/>
    <mergeCell ref="AJ558:AP558"/>
    <mergeCell ref="B557:AF557"/>
    <mergeCell ref="BH486:BR486"/>
    <mergeCell ref="BH490:BR490"/>
    <mergeCell ref="AL484:AW484"/>
    <mergeCell ref="AM11:AW12"/>
    <mergeCell ref="AX11:BG12"/>
    <mergeCell ref="AA11:AL12"/>
    <mergeCell ref="A552:B552"/>
    <mergeCell ref="A93:B93"/>
    <mergeCell ref="C93:H93"/>
    <mergeCell ref="AA486:AK486"/>
    <mergeCell ref="C546:H546"/>
    <mergeCell ref="I546:BQ546"/>
    <mergeCell ref="I547:BQ547"/>
    <mergeCell ref="C137:H137"/>
    <mergeCell ref="I137:W137"/>
    <mergeCell ref="X137:Z137"/>
    <mergeCell ref="A54:B54"/>
    <mergeCell ref="X23:Z23"/>
    <mergeCell ref="C42:H42"/>
    <mergeCell ref="I45:W45"/>
    <mergeCell ref="X45:Z45"/>
    <mergeCell ref="A29:B29"/>
    <mergeCell ref="U60:AH60"/>
    <mergeCell ref="C350:H350"/>
    <mergeCell ref="AA351:AK351"/>
    <mergeCell ref="A122:B122"/>
    <mergeCell ref="A125:B125"/>
    <mergeCell ref="AM126:AW126"/>
    <mergeCell ref="AX126:BG126"/>
    <mergeCell ref="X123:Z123"/>
    <mergeCell ref="C134:H134"/>
    <mergeCell ref="I134:W134"/>
    <mergeCell ref="A137:B137"/>
    <mergeCell ref="A425:B425"/>
    <mergeCell ref="A426:B426"/>
    <mergeCell ref="A341:B341"/>
    <mergeCell ref="AL351:AW351"/>
    <mergeCell ref="A345:B345"/>
    <mergeCell ref="C345:H345"/>
    <mergeCell ref="I345:BQ345"/>
    <mergeCell ref="A344:B344"/>
    <mergeCell ref="C344:H344"/>
    <mergeCell ref="A349:B349"/>
    <mergeCell ref="A453:B453"/>
    <mergeCell ref="A456:B456"/>
    <mergeCell ref="A454:B454"/>
    <mergeCell ref="A447:B447"/>
    <mergeCell ref="A342:B342"/>
    <mergeCell ref="A350:B350"/>
    <mergeCell ref="A351:B351"/>
    <mergeCell ref="A405:B405"/>
    <mergeCell ref="A406:B406"/>
    <mergeCell ref="A424:B424"/>
    <mergeCell ref="BH113:BR113"/>
    <mergeCell ref="I115:BR115"/>
    <mergeCell ref="C25:H25"/>
    <mergeCell ref="A427:B427"/>
    <mergeCell ref="A449:BQ449"/>
    <mergeCell ref="I456:W456"/>
    <mergeCell ref="X456:Z456"/>
    <mergeCell ref="AA456:AL456"/>
    <mergeCell ref="AM456:AW456"/>
    <mergeCell ref="C456:H456"/>
    <mergeCell ref="I423:BQ423"/>
    <mergeCell ref="A421:B421"/>
    <mergeCell ref="C421:H421"/>
    <mergeCell ref="I421:BQ421"/>
    <mergeCell ref="A422:B422"/>
    <mergeCell ref="A420:B420"/>
    <mergeCell ref="C412:H412"/>
    <mergeCell ref="AA411:AK411"/>
    <mergeCell ref="X411:Z411"/>
    <mergeCell ref="A419:B419"/>
    <mergeCell ref="C418:H418"/>
    <mergeCell ref="I422:BQ422"/>
    <mergeCell ref="BH418:BR418"/>
    <mergeCell ref="I413:BQ413"/>
    <mergeCell ref="A417:B417"/>
    <mergeCell ref="C417:H417"/>
    <mergeCell ref="I417:BQ417"/>
    <mergeCell ref="A418:B418"/>
    <mergeCell ref="AX439:BG439"/>
    <mergeCell ref="A440:B440"/>
    <mergeCell ref="C440:H440"/>
    <mergeCell ref="I440:BQ440"/>
    <mergeCell ref="C420:H420"/>
    <mergeCell ref="I420:W420"/>
    <mergeCell ref="BH420:BR420"/>
    <mergeCell ref="AX420:BG420"/>
    <mergeCell ref="A423:B423"/>
    <mergeCell ref="C423:H423"/>
    <mergeCell ref="I418:W418"/>
    <mergeCell ref="X418:Z418"/>
    <mergeCell ref="AA418:AK418"/>
    <mergeCell ref="AL418:AW418"/>
    <mergeCell ref="I410:BQ410"/>
    <mergeCell ref="I416:BQ416"/>
    <mergeCell ref="AX418:BG418"/>
    <mergeCell ref="BH415:BR415"/>
    <mergeCell ref="I411:W411"/>
    <mergeCell ref="A112:B112"/>
    <mergeCell ref="I405:W405"/>
    <mergeCell ref="X405:Z405"/>
    <mergeCell ref="AX415:BG415"/>
    <mergeCell ref="I412:BQ412"/>
    <mergeCell ref="AL411:AW411"/>
    <mergeCell ref="AX411:BG411"/>
    <mergeCell ref="A411:B411"/>
    <mergeCell ref="C411:H411"/>
    <mergeCell ref="A412:B412"/>
    <mergeCell ref="AX26:BG26"/>
    <mergeCell ref="AM26:AW26"/>
    <mergeCell ref="C416:H416"/>
    <mergeCell ref="C109:H109"/>
    <mergeCell ref="AX109:BG109"/>
    <mergeCell ref="A114:BQ114"/>
    <mergeCell ref="AA405:AL405"/>
    <mergeCell ref="AA415:AL415"/>
    <mergeCell ref="AM415:AW415"/>
    <mergeCell ref="BH116:BR116"/>
    <mergeCell ref="BH112:BR112"/>
    <mergeCell ref="A416:B416"/>
    <mergeCell ref="C112:H112"/>
    <mergeCell ref="I112:W112"/>
    <mergeCell ref="X112:Z112"/>
    <mergeCell ref="AM112:AW112"/>
    <mergeCell ref="AX112:BG112"/>
    <mergeCell ref="C115:H115"/>
    <mergeCell ref="A127:BQ127"/>
    <mergeCell ref="A124:BQ124"/>
    <mergeCell ref="A106:B106"/>
    <mergeCell ref="C106:H106"/>
    <mergeCell ref="A108:B108"/>
    <mergeCell ref="C108:H108"/>
    <mergeCell ref="I111:BR111"/>
    <mergeCell ref="A110:BR110"/>
    <mergeCell ref="I109:W109"/>
    <mergeCell ref="X109:Z109"/>
    <mergeCell ref="AA109:AL109"/>
    <mergeCell ref="AM109:AW109"/>
    <mergeCell ref="A107:B107"/>
    <mergeCell ref="C107:H107"/>
    <mergeCell ref="AX113:BG113"/>
    <mergeCell ref="AA112:AL113"/>
    <mergeCell ref="A116:B116"/>
    <mergeCell ref="C116:H116"/>
    <mergeCell ref="I116:W116"/>
    <mergeCell ref="X116:Z116"/>
    <mergeCell ref="AA116:AL116"/>
    <mergeCell ref="AM116:AW116"/>
    <mergeCell ref="A135:BQ135"/>
    <mergeCell ref="A113:B113"/>
    <mergeCell ref="C113:H113"/>
    <mergeCell ref="I113:W113"/>
    <mergeCell ref="X113:Z113"/>
    <mergeCell ref="AM113:AW113"/>
    <mergeCell ref="A134:B134"/>
    <mergeCell ref="AA123:AL123"/>
    <mergeCell ref="C133:H133"/>
    <mergeCell ref="AX116:BG116"/>
    <mergeCell ref="C164:H164"/>
    <mergeCell ref="I164:BQ164"/>
    <mergeCell ref="A165:B165"/>
    <mergeCell ref="C165:H165"/>
    <mergeCell ref="I165:BQ165"/>
    <mergeCell ref="A166:B166"/>
    <mergeCell ref="C166:H166"/>
    <mergeCell ref="I166:W166"/>
    <mergeCell ref="X166:Z166"/>
    <mergeCell ref="AA166:AL166"/>
    <mergeCell ref="AM166:AW166"/>
    <mergeCell ref="AX166:BG166"/>
    <mergeCell ref="A168:B168"/>
    <mergeCell ref="C168:H168"/>
    <mergeCell ref="I168:BQ168"/>
    <mergeCell ref="A169:B169"/>
    <mergeCell ref="C169:H169"/>
    <mergeCell ref="I169:W169"/>
    <mergeCell ref="X169:Z169"/>
    <mergeCell ref="AA169:AL169"/>
    <mergeCell ref="AM169:AW169"/>
    <mergeCell ref="AX169:BG169"/>
    <mergeCell ref="A170:B170"/>
    <mergeCell ref="C170:H170"/>
    <mergeCell ref="I170:BQ170"/>
    <mergeCell ref="BH491:BR491"/>
    <mergeCell ref="A415:B415"/>
    <mergeCell ref="C415:H415"/>
    <mergeCell ref="I415:W415"/>
    <mergeCell ref="X415:Z415"/>
    <mergeCell ref="C376:H376"/>
    <mergeCell ref="I376:BQ376"/>
    <mergeCell ref="A377:B377"/>
    <mergeCell ref="C377:H377"/>
    <mergeCell ref="I377:BQ377"/>
    <mergeCell ref="AM378:AW378"/>
    <mergeCell ref="AX378:BG378"/>
    <mergeCell ref="A380:B380"/>
    <mergeCell ref="A379:B379"/>
    <mergeCell ref="C379:H379"/>
    <mergeCell ref="I379:BQ379"/>
    <mergeCell ref="A378:B378"/>
    <mergeCell ref="C378:H378"/>
    <mergeCell ref="BH378:BR378"/>
    <mergeCell ref="I378:W378"/>
    <mergeCell ref="X378:Z378"/>
    <mergeCell ref="I383:W383"/>
    <mergeCell ref="C380:H380"/>
    <mergeCell ref="I380:BQ380"/>
    <mergeCell ref="A381:B381"/>
    <mergeCell ref="C381:H381"/>
    <mergeCell ref="I381:W381"/>
    <mergeCell ref="X381:Z381"/>
    <mergeCell ref="AA381:AK381"/>
    <mergeCell ref="AL381:AW381"/>
    <mergeCell ref="AX381:BG381"/>
    <mergeCell ref="AX386:BG386"/>
    <mergeCell ref="A384:B384"/>
    <mergeCell ref="C384:H384"/>
    <mergeCell ref="I384:BQ384"/>
    <mergeCell ref="A382:B382"/>
    <mergeCell ref="C382:H382"/>
    <mergeCell ref="AX383:BG383"/>
    <mergeCell ref="A383:B383"/>
    <mergeCell ref="C383:H383"/>
    <mergeCell ref="I382:BQ382"/>
    <mergeCell ref="A389:B389"/>
    <mergeCell ref="A385:B385"/>
    <mergeCell ref="C385:H385"/>
    <mergeCell ref="I385:BQ385"/>
    <mergeCell ref="A386:B386"/>
    <mergeCell ref="C386:H386"/>
    <mergeCell ref="I386:W386"/>
    <mergeCell ref="X386:Z386"/>
    <mergeCell ref="AA386:AL386"/>
    <mergeCell ref="AM386:AW386"/>
    <mergeCell ref="A387:B387"/>
    <mergeCell ref="C387:H387"/>
    <mergeCell ref="I387:BQ387"/>
    <mergeCell ref="A388:B388"/>
    <mergeCell ref="C388:H388"/>
    <mergeCell ref="I388:BQ388"/>
    <mergeCell ref="BH398:BR398"/>
    <mergeCell ref="BH401:BR401"/>
    <mergeCell ref="AX401:BG401"/>
    <mergeCell ref="A390:B390"/>
    <mergeCell ref="C390:H390"/>
    <mergeCell ref="I390:BQ390"/>
    <mergeCell ref="A396:B396"/>
    <mergeCell ref="AM395:AW395"/>
    <mergeCell ref="AX395:BG395"/>
    <mergeCell ref="C389:H389"/>
    <mergeCell ref="I389:W389"/>
    <mergeCell ref="AA389:AK389"/>
    <mergeCell ref="AL389:AW389"/>
    <mergeCell ref="X391:Z391"/>
    <mergeCell ref="C393:H393"/>
    <mergeCell ref="X389:Z389"/>
    <mergeCell ref="AX389:BG389"/>
    <mergeCell ref="C396:H396"/>
    <mergeCell ref="I396:BQ396"/>
    <mergeCell ref="AA391:AK391"/>
    <mergeCell ref="AL391:AW391"/>
    <mergeCell ref="A391:B391"/>
    <mergeCell ref="C391:H391"/>
    <mergeCell ref="A395:B395"/>
    <mergeCell ref="C395:H395"/>
    <mergeCell ref="I395:W395"/>
    <mergeCell ref="AX391:BG391"/>
    <mergeCell ref="A394:B394"/>
    <mergeCell ref="C394:H394"/>
    <mergeCell ref="I394:BQ394"/>
    <mergeCell ref="A392:B392"/>
    <mergeCell ref="C392:H392"/>
    <mergeCell ref="I392:BQ392"/>
    <mergeCell ref="A393:B393"/>
    <mergeCell ref="I393:BQ393"/>
    <mergeCell ref="X395:Z395"/>
    <mergeCell ref="AA395:AL395"/>
    <mergeCell ref="A397:B397"/>
    <mergeCell ref="C397:H397"/>
    <mergeCell ref="I397:BQ397"/>
    <mergeCell ref="A398:B398"/>
    <mergeCell ref="C398:H398"/>
    <mergeCell ref="I398:W398"/>
    <mergeCell ref="X398:Z398"/>
    <mergeCell ref="AA398:AK398"/>
    <mergeCell ref="AL398:AW398"/>
    <mergeCell ref="AX398:BG398"/>
    <mergeCell ref="A402:B402"/>
    <mergeCell ref="I401:W401"/>
    <mergeCell ref="A399:B399"/>
    <mergeCell ref="C399:H399"/>
    <mergeCell ref="I399:BQ399"/>
    <mergeCell ref="A400:B400"/>
    <mergeCell ref="C400:H400"/>
    <mergeCell ref="I400:BQ400"/>
    <mergeCell ref="I402:BQ402"/>
    <mergeCell ref="C402:H402"/>
    <mergeCell ref="A403:B403"/>
    <mergeCell ref="C403:H403"/>
    <mergeCell ref="I403:BQ403"/>
    <mergeCell ref="X401:Z401"/>
    <mergeCell ref="AA401:AK401"/>
    <mergeCell ref="AL401:AW401"/>
    <mergeCell ref="A401:B401"/>
    <mergeCell ref="C401:H401"/>
    <mergeCell ref="A408:B408"/>
    <mergeCell ref="C404:H404"/>
    <mergeCell ref="I404:BQ404"/>
    <mergeCell ref="AM405:AW405"/>
    <mergeCell ref="AX405:BG405"/>
    <mergeCell ref="BH405:BR405"/>
    <mergeCell ref="A407:B407"/>
    <mergeCell ref="C407:H407"/>
    <mergeCell ref="C406:H406"/>
    <mergeCell ref="I406:BQ406"/>
    <mergeCell ref="A414:B414"/>
    <mergeCell ref="C414:H414"/>
    <mergeCell ref="I414:BQ414"/>
    <mergeCell ref="I407:BQ407"/>
    <mergeCell ref="AA408:AK408"/>
    <mergeCell ref="AL408:AW408"/>
    <mergeCell ref="A409:B409"/>
    <mergeCell ref="C409:H409"/>
    <mergeCell ref="I409:BQ409"/>
    <mergeCell ref="AX408:BG408"/>
    <mergeCell ref="A463:B463"/>
    <mergeCell ref="I461:W461"/>
    <mergeCell ref="X461:Z461"/>
    <mergeCell ref="A455:B455"/>
    <mergeCell ref="I458:BQ458"/>
    <mergeCell ref="C463:H463"/>
    <mergeCell ref="C459:H459"/>
    <mergeCell ref="AX459:BG459"/>
    <mergeCell ref="C455:H455"/>
    <mergeCell ref="C462:H462"/>
    <mergeCell ref="A464:B464"/>
    <mergeCell ref="C464:H464"/>
    <mergeCell ref="I464:BQ464"/>
    <mergeCell ref="AX465:BG465"/>
    <mergeCell ref="BH465:BR465"/>
    <mergeCell ref="I465:W465"/>
    <mergeCell ref="X465:Z465"/>
    <mergeCell ref="AA465:AL465"/>
    <mergeCell ref="AM465:AW465"/>
    <mergeCell ref="A465:B465"/>
    <mergeCell ref="C465:H465"/>
    <mergeCell ref="A467:B467"/>
    <mergeCell ref="C467:H467"/>
    <mergeCell ref="I467:W467"/>
    <mergeCell ref="X467:Z467"/>
    <mergeCell ref="A468:B468"/>
    <mergeCell ref="C468:H468"/>
    <mergeCell ref="I468:BQ468"/>
    <mergeCell ref="A466:B466"/>
    <mergeCell ref="C466:H466"/>
    <mergeCell ref="I466:BQ466"/>
    <mergeCell ref="AA467:AK467"/>
    <mergeCell ref="BH467:BR467"/>
    <mergeCell ref="AL467:AW467"/>
    <mergeCell ref="I469:W469"/>
    <mergeCell ref="X469:Z469"/>
    <mergeCell ref="AA469:AK469"/>
    <mergeCell ref="AL469:AW469"/>
    <mergeCell ref="AX467:BG467"/>
    <mergeCell ref="AA472:AL472"/>
    <mergeCell ref="AM472:AW472"/>
    <mergeCell ref="AX472:BG472"/>
    <mergeCell ref="AX469:BG469"/>
    <mergeCell ref="A470:B470"/>
    <mergeCell ref="C470:H470"/>
    <mergeCell ref="A469:B469"/>
    <mergeCell ref="C469:H469"/>
    <mergeCell ref="A473:B473"/>
    <mergeCell ref="C473:H473"/>
    <mergeCell ref="I473:BQ473"/>
    <mergeCell ref="A471:B471"/>
    <mergeCell ref="C471:H471"/>
    <mergeCell ref="I471:BQ471"/>
    <mergeCell ref="A472:B472"/>
    <mergeCell ref="C472:H472"/>
    <mergeCell ref="I472:W472"/>
    <mergeCell ref="X472:Z472"/>
    <mergeCell ref="I475:BQ475"/>
    <mergeCell ref="A474:B474"/>
    <mergeCell ref="C474:H474"/>
    <mergeCell ref="I474:W474"/>
    <mergeCell ref="X474:Z474"/>
    <mergeCell ref="AA474:AK474"/>
    <mergeCell ref="AL474:AW474"/>
    <mergeCell ref="I454:BQ454"/>
    <mergeCell ref="A476:B476"/>
    <mergeCell ref="C476:H476"/>
    <mergeCell ref="I476:W476"/>
    <mergeCell ref="X476:Z476"/>
    <mergeCell ref="AA476:AK476"/>
    <mergeCell ref="AL476:AW476"/>
    <mergeCell ref="AX474:BG474"/>
    <mergeCell ref="A475:B475"/>
    <mergeCell ref="C475:H475"/>
    <mergeCell ref="A480:B480"/>
    <mergeCell ref="C480:H480"/>
    <mergeCell ref="I480:BQ480"/>
    <mergeCell ref="BH481:BR481"/>
    <mergeCell ref="AX476:BG476"/>
    <mergeCell ref="A477:B477"/>
    <mergeCell ref="C477:H477"/>
    <mergeCell ref="BH476:BR476"/>
    <mergeCell ref="A479:B479"/>
    <mergeCell ref="A483:B483"/>
    <mergeCell ref="C483:H483"/>
    <mergeCell ref="I483:BQ483"/>
    <mergeCell ref="A482:B482"/>
    <mergeCell ref="A481:B481"/>
    <mergeCell ref="AA481:AL481"/>
    <mergeCell ref="AM481:AW481"/>
    <mergeCell ref="AX484:BG484"/>
    <mergeCell ref="A485:B485"/>
    <mergeCell ref="C485:H485"/>
    <mergeCell ref="I485:BQ485"/>
    <mergeCell ref="A484:B484"/>
    <mergeCell ref="C484:H484"/>
    <mergeCell ref="AA484:AK484"/>
    <mergeCell ref="BH484:BR484"/>
    <mergeCell ref="I484:W484"/>
    <mergeCell ref="X484:Z484"/>
    <mergeCell ref="I482:W482"/>
    <mergeCell ref="X482:Z482"/>
    <mergeCell ref="C479:H479"/>
    <mergeCell ref="AL486:AW486"/>
    <mergeCell ref="I486:W486"/>
    <mergeCell ref="A478:B478"/>
    <mergeCell ref="C478:H478"/>
    <mergeCell ref="AA482:AL482"/>
    <mergeCell ref="AM482:AW482"/>
    <mergeCell ref="AX482:BG482"/>
    <mergeCell ref="C482:H482"/>
    <mergeCell ref="C481:H481"/>
    <mergeCell ref="I481:W481"/>
    <mergeCell ref="X481:Z481"/>
    <mergeCell ref="AX481:BG481"/>
    <mergeCell ref="AX486:BG486"/>
    <mergeCell ref="A489:B489"/>
    <mergeCell ref="C489:H489"/>
    <mergeCell ref="I489:BQ489"/>
    <mergeCell ref="A486:B486"/>
    <mergeCell ref="C486:H486"/>
    <mergeCell ref="X486:Z486"/>
    <mergeCell ref="X490:Z490"/>
    <mergeCell ref="AA490:AL490"/>
    <mergeCell ref="AM490:AW490"/>
    <mergeCell ref="A487:BQ487"/>
    <mergeCell ref="A488:B488"/>
    <mergeCell ref="C488:H488"/>
    <mergeCell ref="I488:BQ488"/>
    <mergeCell ref="AX490:BG490"/>
    <mergeCell ref="A491:B491"/>
    <mergeCell ref="C491:H491"/>
    <mergeCell ref="I491:W491"/>
    <mergeCell ref="X491:Z491"/>
    <mergeCell ref="AA491:AL491"/>
    <mergeCell ref="AM491:AW491"/>
    <mergeCell ref="A490:B490"/>
    <mergeCell ref="C490:H490"/>
    <mergeCell ref="I490:W490"/>
    <mergeCell ref="BH495:BR495"/>
    <mergeCell ref="AX495:BG495"/>
    <mergeCell ref="AX491:BG491"/>
    <mergeCell ref="A492:B492"/>
    <mergeCell ref="C492:H492"/>
    <mergeCell ref="I492:BQ492"/>
    <mergeCell ref="A493:B493"/>
    <mergeCell ref="C493:H493"/>
    <mergeCell ref="I493:W493"/>
    <mergeCell ref="X493:Z493"/>
    <mergeCell ref="AL493:AW493"/>
    <mergeCell ref="AX493:BG493"/>
    <mergeCell ref="A494:B494"/>
    <mergeCell ref="C494:H494"/>
    <mergeCell ref="I494:BQ494"/>
    <mergeCell ref="AA493:AK493"/>
    <mergeCell ref="BH493:BR493"/>
    <mergeCell ref="AX498:BG498"/>
    <mergeCell ref="A496:B496"/>
    <mergeCell ref="C496:H496"/>
    <mergeCell ref="I496:BQ496"/>
    <mergeCell ref="A495:B495"/>
    <mergeCell ref="C495:H495"/>
    <mergeCell ref="I495:W495"/>
    <mergeCell ref="X495:Z495"/>
    <mergeCell ref="AA495:AK495"/>
    <mergeCell ref="AL495:AW495"/>
    <mergeCell ref="AX499:BG499"/>
    <mergeCell ref="A497:B497"/>
    <mergeCell ref="C497:H497"/>
    <mergeCell ref="I497:BQ497"/>
    <mergeCell ref="A498:B498"/>
    <mergeCell ref="C498:H498"/>
    <mergeCell ref="I498:W498"/>
    <mergeCell ref="X498:Z498"/>
    <mergeCell ref="AA498:AL498"/>
    <mergeCell ref="AM498:AW498"/>
    <mergeCell ref="AA502:AK502"/>
    <mergeCell ref="AA505:AK505"/>
    <mergeCell ref="AL505:AW505"/>
    <mergeCell ref="AL502:AW502"/>
    <mergeCell ref="A499:B499"/>
    <mergeCell ref="C499:H499"/>
    <mergeCell ref="I499:W499"/>
    <mergeCell ref="X499:Z499"/>
    <mergeCell ref="AA499:AL499"/>
    <mergeCell ref="AM499:AW499"/>
    <mergeCell ref="A505:B505"/>
    <mergeCell ref="C505:H505"/>
    <mergeCell ref="I505:W505"/>
    <mergeCell ref="X505:Z505"/>
    <mergeCell ref="C502:H502"/>
    <mergeCell ref="I502:W502"/>
    <mergeCell ref="X502:Z502"/>
    <mergeCell ref="A506:BQ506"/>
    <mergeCell ref="A508:B508"/>
    <mergeCell ref="C508:H508"/>
    <mergeCell ref="I508:BQ508"/>
    <mergeCell ref="AX502:BG502"/>
    <mergeCell ref="A503:BQ503"/>
    <mergeCell ref="A504:B504"/>
    <mergeCell ref="C504:H504"/>
    <mergeCell ref="I504:BQ504"/>
    <mergeCell ref="AX505:BG505"/>
    <mergeCell ref="X510:Z510"/>
    <mergeCell ref="AA510:AL510"/>
    <mergeCell ref="AM510:AW510"/>
    <mergeCell ref="A509:B509"/>
    <mergeCell ref="C509:H509"/>
    <mergeCell ref="I509:BQ509"/>
    <mergeCell ref="BH510:BR510"/>
    <mergeCell ref="AX510:BG510"/>
    <mergeCell ref="A511:B511"/>
    <mergeCell ref="C511:H511"/>
    <mergeCell ref="I511:W511"/>
    <mergeCell ref="X511:Z511"/>
    <mergeCell ref="AA511:AL511"/>
    <mergeCell ref="AM511:AW511"/>
    <mergeCell ref="A510:B510"/>
    <mergeCell ref="C510:H510"/>
    <mergeCell ref="I510:W510"/>
    <mergeCell ref="AX511:BG511"/>
    <mergeCell ref="A512:B512"/>
    <mergeCell ref="C512:H512"/>
    <mergeCell ref="I512:BQ512"/>
    <mergeCell ref="BH513:BR513"/>
    <mergeCell ref="AX513:BG513"/>
    <mergeCell ref="BH511:BR511"/>
    <mergeCell ref="A514:B514"/>
    <mergeCell ref="C514:H514"/>
    <mergeCell ref="I514:BQ514"/>
    <mergeCell ref="A513:B513"/>
    <mergeCell ref="C513:H513"/>
    <mergeCell ref="I513:W513"/>
    <mergeCell ref="X513:Z513"/>
    <mergeCell ref="AA513:AK513"/>
    <mergeCell ref="AL513:AW513"/>
    <mergeCell ref="A516:B516"/>
    <mergeCell ref="C516:H516"/>
    <mergeCell ref="I516:BQ516"/>
    <mergeCell ref="AA515:AK515"/>
    <mergeCell ref="AL515:AW515"/>
    <mergeCell ref="AX515:BG515"/>
    <mergeCell ref="BH515:BR515"/>
    <mergeCell ref="A515:B515"/>
    <mergeCell ref="I518:W518"/>
    <mergeCell ref="X518:Z518"/>
    <mergeCell ref="AA518:AL518"/>
    <mergeCell ref="AM518:AW518"/>
    <mergeCell ref="AX518:BG518"/>
    <mergeCell ref="C515:H515"/>
    <mergeCell ref="I515:W515"/>
    <mergeCell ref="X515:Z515"/>
    <mergeCell ref="A519:B519"/>
    <mergeCell ref="C519:H519"/>
    <mergeCell ref="I519:W519"/>
    <mergeCell ref="X519:Z519"/>
    <mergeCell ref="AA519:AL519"/>
    <mergeCell ref="A517:B517"/>
    <mergeCell ref="C517:H517"/>
    <mergeCell ref="I517:BQ517"/>
    <mergeCell ref="A518:B518"/>
    <mergeCell ref="C518:H518"/>
    <mergeCell ref="AA522:AK522"/>
    <mergeCell ref="AL522:AW522"/>
    <mergeCell ref="AM519:AW519"/>
    <mergeCell ref="AX519:BG519"/>
    <mergeCell ref="A520:BQ520"/>
    <mergeCell ref="A521:B521"/>
    <mergeCell ref="C521:H521"/>
    <mergeCell ref="I521:BQ521"/>
    <mergeCell ref="AX522:BG522"/>
    <mergeCell ref="A522:B522"/>
    <mergeCell ref="C522:H522"/>
    <mergeCell ref="I522:W522"/>
    <mergeCell ref="X522:Z522"/>
    <mergeCell ref="AX525:BG525"/>
    <mergeCell ref="A525:B525"/>
    <mergeCell ref="C525:H525"/>
    <mergeCell ref="I525:W525"/>
    <mergeCell ref="X525:Z525"/>
    <mergeCell ref="AA525:AK525"/>
    <mergeCell ref="AL525:AW525"/>
    <mergeCell ref="I364:BR364"/>
    <mergeCell ref="I446:BR446"/>
    <mergeCell ref="A441:B441"/>
    <mergeCell ref="C441:H441"/>
    <mergeCell ref="I441:BQ441"/>
    <mergeCell ref="A439:B439"/>
    <mergeCell ref="C439:H439"/>
    <mergeCell ref="A404:B404"/>
    <mergeCell ref="A413:B413"/>
    <mergeCell ref="C413:H413"/>
    <mergeCell ref="BH32:BR32"/>
    <mergeCell ref="A33:B33"/>
    <mergeCell ref="A41:B41"/>
    <mergeCell ref="C41:H41"/>
    <mergeCell ref="I41:BR41"/>
    <mergeCell ref="AA45:AL45"/>
    <mergeCell ref="A42:B42"/>
    <mergeCell ref="A45:B45"/>
    <mergeCell ref="C45:H45"/>
    <mergeCell ref="AM45:AW45"/>
    <mergeCell ref="C44:H44"/>
    <mergeCell ref="I44:BR44"/>
    <mergeCell ref="BH34:BR34"/>
    <mergeCell ref="I35:W35"/>
    <mergeCell ref="X35:Z35"/>
    <mergeCell ref="AM35:AW35"/>
    <mergeCell ref="C35:H35"/>
    <mergeCell ref="I23:W23"/>
    <mergeCell ref="A28:B28"/>
    <mergeCell ref="C34:H34"/>
    <mergeCell ref="I34:W34"/>
    <mergeCell ref="AM34:AW34"/>
    <mergeCell ref="AM23:AW23"/>
    <mergeCell ref="AM32:AW32"/>
    <mergeCell ref="AA23:AL23"/>
    <mergeCell ref="AA29:AL29"/>
    <mergeCell ref="A27:B27"/>
    <mergeCell ref="A47:B47"/>
    <mergeCell ref="C47:H47"/>
    <mergeCell ref="I47:W47"/>
    <mergeCell ref="X47:Z47"/>
    <mergeCell ref="AA47:AL47"/>
    <mergeCell ref="AM47:AW47"/>
    <mergeCell ref="A46:B46"/>
    <mergeCell ref="C46:H46"/>
    <mergeCell ref="I46:BR46"/>
    <mergeCell ref="A32:B32"/>
    <mergeCell ref="C32:H32"/>
    <mergeCell ref="I32:W32"/>
    <mergeCell ref="X32:Z32"/>
    <mergeCell ref="AA32:AL33"/>
    <mergeCell ref="A40:B40"/>
    <mergeCell ref="C40:H40"/>
    <mergeCell ref="BH45:BR45"/>
    <mergeCell ref="BH35:BR35"/>
    <mergeCell ref="A31:B31"/>
    <mergeCell ref="C31:H31"/>
    <mergeCell ref="I31:BR31"/>
    <mergeCell ref="A35:B35"/>
    <mergeCell ref="X33:Z33"/>
    <mergeCell ref="AX45:BG45"/>
    <mergeCell ref="X42:Z42"/>
    <mergeCell ref="A44:B44"/>
    <mergeCell ref="AM33:AW33"/>
    <mergeCell ref="AX33:BG33"/>
    <mergeCell ref="BH33:BR33"/>
    <mergeCell ref="A34:B34"/>
    <mergeCell ref="A30:B30"/>
    <mergeCell ref="C30:H30"/>
    <mergeCell ref="I30:BR30"/>
    <mergeCell ref="X34:Z34"/>
    <mergeCell ref="AA34:AL35"/>
    <mergeCell ref="AX32:BG32"/>
    <mergeCell ref="A36:B36"/>
    <mergeCell ref="C36:H36"/>
    <mergeCell ref="I36:BR36"/>
    <mergeCell ref="AX34:BG34"/>
    <mergeCell ref="AX35:BG35"/>
    <mergeCell ref="A37:B37"/>
    <mergeCell ref="C37:H37"/>
    <mergeCell ref="I37:W37"/>
    <mergeCell ref="X37:Z37"/>
    <mergeCell ref="AA37:AL37"/>
    <mergeCell ref="A92:BR92"/>
    <mergeCell ref="BH37:BR37"/>
    <mergeCell ref="A38:B38"/>
    <mergeCell ref="C38:H38"/>
    <mergeCell ref="I38:W38"/>
    <mergeCell ref="X38:Z38"/>
    <mergeCell ref="AA38:AL38"/>
    <mergeCell ref="AM38:AW38"/>
    <mergeCell ref="AX47:BG47"/>
    <mergeCell ref="BH47:BR47"/>
    <mergeCell ref="A43:B43"/>
    <mergeCell ref="C43:H43"/>
    <mergeCell ref="I43:BR43"/>
    <mergeCell ref="AM42:AW42"/>
    <mergeCell ref="AA42:AL42"/>
    <mergeCell ref="AM37:AW37"/>
    <mergeCell ref="AX37:BG37"/>
    <mergeCell ref="I40:BR40"/>
    <mergeCell ref="I42:W42"/>
    <mergeCell ref="AX38:BG38"/>
    <mergeCell ref="BH38:BR38"/>
    <mergeCell ref="A39:B39"/>
    <mergeCell ref="C39:H39"/>
    <mergeCell ref="I39:BR39"/>
  </mergeCells>
  <printOptions horizontalCentered="1"/>
  <pageMargins left="0.3937007874015748" right="0.31496062992125984" top="0.35433070866141736" bottom="0.2362204724409449" header="0.2755905511811024" footer="0.1968503937007874"/>
  <pageSetup fitToHeight="9" horizontalDpi="600" verticalDpi="600" orientation="landscape" paperSize="9" scale="69" r:id="rId1"/>
  <rowBreaks count="9" manualBreakCount="9">
    <brk id="30" max="69" man="1"/>
    <brk id="71" max="69" man="1"/>
    <brk id="100" max="69" man="1"/>
    <brk id="131" max="69" man="1"/>
    <brk id="153" max="69" man="1"/>
    <brk id="177" max="69" man="1"/>
    <brk id="308" max="69" man="1"/>
    <brk id="498" max="69" man="1"/>
    <brk id="519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Феденко Олена Станіславівна</cp:lastModifiedBy>
  <cp:lastPrinted>2018-02-28T09:19:21Z</cp:lastPrinted>
  <dcterms:created xsi:type="dcterms:W3CDTF">2012-03-20T12:49:31Z</dcterms:created>
  <dcterms:modified xsi:type="dcterms:W3CDTF">2018-02-28T09:23:58Z</dcterms:modified>
  <cp:category/>
  <cp:version/>
  <cp:contentType/>
  <cp:contentStatus/>
</cp:coreProperties>
</file>