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628" windowHeight="6312" tabRatio="869" activeTab="0"/>
  </bookViews>
  <sheets>
    <sheet name="2019-1(1;2;3;4)" sheetId="1" r:id="rId1"/>
    <sheet name="2019-2(1;2;3;4;5;.5.1,5.2)" sheetId="2" r:id="rId2"/>
    <sheet name="2019-2(6.1;6.2;6.3,6.4)" sheetId="3" r:id="rId3"/>
    <sheet name="2019-(7.1,7.2)" sheetId="4" r:id="rId4"/>
    <sheet name="2019-2(8.1,8.2)" sheetId="5" r:id="rId5"/>
    <sheet name="2019-2(9;10)" sheetId="6" r:id="rId6"/>
    <sheet name="2019-2(11.1;11.2)" sheetId="7" r:id="rId7"/>
    <sheet name="2019-2(12.1;12.2;13) " sheetId="8" r:id="rId8"/>
    <sheet name="2019-2(14)заг" sheetId="9" r:id="rId9"/>
    <sheet name="2019-2(14)спец" sheetId="10" r:id="rId10"/>
    <sheet name="2019-2(14.4-15" sheetId="11" r:id="rId11"/>
    <sheet name="2019-3додатковий" sheetId="12" r:id="rId12"/>
    <sheet name="2019-3додатковий 3261360" sheetId="13" r:id="rId13"/>
    <sheet name="2019-3додатковий (2)" sheetId="14" r:id="rId14"/>
    <sheet name="2018-3додатковий спец" sheetId="15" r:id="rId15"/>
  </sheets>
  <externalReferences>
    <externalReference r:id="rId18"/>
  </externalReferences>
  <definedNames>
    <definedName name="_xlnm.Print_Area" localSheetId="14">'2018-3додатковий спец'!$A$1:$I$86</definedName>
    <definedName name="_xlnm.Print_Area" localSheetId="3">'2019-(7.1,7.2)'!$A$1:$N$69</definedName>
    <definedName name="_xlnm.Print_Area" localSheetId="0">'2019-1(1;2;3;4)'!$A$1:$O$42</definedName>
    <definedName name="_xlnm.Print_Area" localSheetId="1">'2019-2(1;2;3;4;5;.5.1,5.2)'!$A$1:$O$60</definedName>
    <definedName name="_xlnm.Print_Area" localSheetId="6">'2019-2(11.1;11.2)'!$A$1:$L$24</definedName>
    <definedName name="_xlnm.Print_Area" localSheetId="7">'2019-2(12.1;12.2;13) '!$A$1:$N$12</definedName>
    <definedName name="_xlnm.Print_Area" localSheetId="8">'2019-2(14)заг'!$A$1:$M$54</definedName>
    <definedName name="_xlnm.Print_Area" localSheetId="9">'2019-2(14)спец'!$A$1:$M$54</definedName>
    <definedName name="_xlnm.Print_Area" localSheetId="10">'2019-2(14.4-15'!$A$1:$I$12</definedName>
    <definedName name="_xlnm.Print_Area" localSheetId="2">'2019-2(6.1;6.2;6.3,6.4)'!$A$1:$O$63</definedName>
    <definedName name="_xlnm.Print_Area" localSheetId="5">'2019-2(9;10)'!$A$1:$Q$42</definedName>
    <definedName name="_xlnm.Print_Area" localSheetId="11">'2019-3додатковий'!$A$1:$I$86</definedName>
    <definedName name="_xlnm.Print_Area" localSheetId="13">'2019-3додатковий (2)'!$A$1:$I$86</definedName>
    <definedName name="_xlnm.Print_Area" localSheetId="12">'2019-3додатковий 3261360'!$A$1:$I$94</definedName>
  </definedNames>
  <calcPr fullCalcOnLoad="1"/>
</workbook>
</file>

<file path=xl/comments4.xml><?xml version="1.0" encoding="utf-8"?>
<comments xmlns="http://schemas.openxmlformats.org/spreadsheetml/2006/main">
  <authors>
    <author>Феденко Олена Станіславівна</author>
  </authors>
  <commentList>
    <comment ref="A38" authorId="0">
      <text>
        <r>
          <rPr>
            <b/>
            <sz val="9"/>
            <rFont val="Tahoma"/>
            <family val="2"/>
          </rPr>
          <t>Феденко Олена Станіславівна:</t>
        </r>
        <r>
          <rPr>
            <sz val="9"/>
            <rFont val="Tahoma"/>
            <family val="2"/>
          </rPr>
          <t xml:space="preserve">
</t>
        </r>
      </text>
    </comment>
  </commentList>
</comments>
</file>

<file path=xl/sharedStrings.xml><?xml version="1.0" encoding="utf-8"?>
<sst xmlns="http://schemas.openxmlformats.org/spreadsheetml/2006/main" count="2520" uniqueCount="519">
  <si>
    <t>Надходження із загального фонду бюджету</t>
  </si>
  <si>
    <t xml:space="preserve">                     </t>
  </si>
  <si>
    <t>ВСЬОГО</t>
  </si>
  <si>
    <t>загальний фонд</t>
  </si>
  <si>
    <t>спеціальний фонд</t>
  </si>
  <si>
    <t>Загальний фонд</t>
  </si>
  <si>
    <t>…</t>
  </si>
  <si>
    <t>Х</t>
  </si>
  <si>
    <t>(підпис)</t>
  </si>
  <si>
    <t>фактично зайняті</t>
  </si>
  <si>
    <t>з них штатні одиниці за загальним фондом, що враховані також у спеціальному фонді</t>
  </si>
  <si>
    <t>Затверджено з урахуванням змін</t>
  </si>
  <si>
    <t>загального фонду</t>
  </si>
  <si>
    <t>спеціального фонду</t>
  </si>
  <si>
    <t>Код</t>
  </si>
  <si>
    <t>X</t>
  </si>
  <si>
    <t xml:space="preserve">1. </t>
  </si>
  <si>
    <t>КВК</t>
  </si>
  <si>
    <t>2.</t>
  </si>
  <si>
    <t>2.1.</t>
  </si>
  <si>
    <t>На початок періоду</t>
  </si>
  <si>
    <t>3.</t>
  </si>
  <si>
    <t>КЕКВ/ККК</t>
  </si>
  <si>
    <t>4.</t>
  </si>
  <si>
    <t>№ з/п</t>
  </si>
  <si>
    <t>5.</t>
  </si>
  <si>
    <t>Категорії працівників</t>
  </si>
  <si>
    <t>Спеціальний фонд</t>
  </si>
  <si>
    <t>Всього штатних одиниць</t>
  </si>
  <si>
    <t>затверджено</t>
  </si>
  <si>
    <t>6.</t>
  </si>
  <si>
    <t>Коли та яким документом затверджена</t>
  </si>
  <si>
    <t>7.</t>
  </si>
  <si>
    <t>Причини виникнення заборгованості</t>
  </si>
  <si>
    <t>(прізвище та ініціали)</t>
  </si>
  <si>
    <t>Виконавчий комітет Сумської міської ради</t>
  </si>
  <si>
    <t>Медикаменти та перев'язувальні матеріали</t>
  </si>
  <si>
    <t>Продукти харчування</t>
  </si>
  <si>
    <t>2110</t>
  </si>
  <si>
    <t xml:space="preserve">ВСЬОГО </t>
  </si>
  <si>
    <t>-</t>
  </si>
  <si>
    <t>Начальник відділу бухгалтерського обліку та звітності, головний бухгалтер</t>
  </si>
  <si>
    <t>О.А.Костенко</t>
  </si>
  <si>
    <t>в т.ч бюджет розвитку</t>
  </si>
  <si>
    <t xml:space="preserve">Найменування </t>
  </si>
  <si>
    <t>(найменування головного розпорядника коштів місцевого бюджету)</t>
  </si>
  <si>
    <t>КПКВК</t>
  </si>
  <si>
    <t>8.</t>
  </si>
  <si>
    <t>Показники</t>
  </si>
  <si>
    <t>Одиниця виміру</t>
  </si>
  <si>
    <t>Джерело інформації</t>
  </si>
  <si>
    <t>Завдання</t>
  </si>
  <si>
    <t>затрат</t>
  </si>
  <si>
    <t>продукту</t>
  </si>
  <si>
    <t>ефективності</t>
  </si>
  <si>
    <t>якості</t>
  </si>
  <si>
    <t>10.</t>
  </si>
  <si>
    <t>11.</t>
  </si>
  <si>
    <t>11.1.</t>
  </si>
  <si>
    <t>Код програми/КТКВК</t>
  </si>
  <si>
    <t>12.</t>
  </si>
  <si>
    <t>13.</t>
  </si>
  <si>
    <t>14.</t>
  </si>
  <si>
    <t>грн.</t>
  </si>
  <si>
    <t>Мета діяльності головного розпорядника коштів місцевого бюджету</t>
  </si>
  <si>
    <t>Інші надходження спеціального фонду</t>
  </si>
  <si>
    <t>Запозичення</t>
  </si>
  <si>
    <t>Кошти, що передаються із загального фонду до спеціального фонду (бюджету розвитку)</t>
  </si>
  <si>
    <t xml:space="preserve">На кінець періоду </t>
  </si>
  <si>
    <t>Відповідальний
виконавець</t>
  </si>
  <si>
    <t>(грн.)</t>
  </si>
  <si>
    <t>разом
(3+4)</t>
  </si>
  <si>
    <t>разом
(7+8)</t>
  </si>
  <si>
    <t>разом
(11+12)</t>
  </si>
  <si>
    <t>Підпрограма 1</t>
  </si>
  <si>
    <t>Підпрограма 2</t>
  </si>
  <si>
    <t>Підпрограма</t>
  </si>
  <si>
    <t>у тому числі оплата праці штатних одиниць за загальним фондом, що враховані також у спеціальному фонді</t>
  </si>
  <si>
    <t>№
з/п</t>
  </si>
  <si>
    <t>Касові видатки/ надання кредитів</t>
  </si>
  <si>
    <t>(6–5)</t>
  </si>
  <si>
    <t>Затверджені призначення</t>
  </si>
  <si>
    <t>Планується погасити кредиторської заборгованості за рахунок коштів</t>
  </si>
  <si>
    <t>Граничний обсяг</t>
  </si>
  <si>
    <t>Найменування</t>
  </si>
  <si>
    <t>необхідно додатково +</t>
  </si>
  <si>
    <t>……</t>
  </si>
  <si>
    <t>2.2.</t>
  </si>
  <si>
    <t>індикативні прогнозні показники</t>
  </si>
  <si>
    <t>Програма</t>
  </si>
  <si>
    <t>необхідно додатково
+</t>
  </si>
  <si>
    <t>Оплата праці</t>
  </si>
  <si>
    <t>Нарахування на оплату праці</t>
  </si>
  <si>
    <t>Предмети, матеріали, обладнання та інвентар</t>
  </si>
  <si>
    <t>Придбання обладнання і предметів довгострокового користування</t>
  </si>
  <si>
    <t xml:space="preserve">      Управління на рівні районів, міст, районів у містах.</t>
  </si>
  <si>
    <t>091106</t>
  </si>
  <si>
    <t>%</t>
  </si>
  <si>
    <t xml:space="preserve">Власні надходження бюджетних установ </t>
  </si>
  <si>
    <t xml:space="preserve"> - </t>
  </si>
  <si>
    <t>2018 рік</t>
  </si>
  <si>
    <t>Погашено кредиторську заборгованість за рахунок коштів</t>
  </si>
  <si>
    <t>14.3.</t>
  </si>
  <si>
    <t>15.</t>
  </si>
  <si>
    <t>граничний обсяг</t>
  </si>
  <si>
    <t>Зміна результативних показників, які характеризують виконання бюджетної програми, у разі передбачення додаткових коштів:</t>
  </si>
  <si>
    <t>(грн)</t>
  </si>
  <si>
    <t>разом (4+5)</t>
  </si>
  <si>
    <t>разом (8+9)</t>
  </si>
  <si>
    <t>розрахункові дані</t>
  </si>
  <si>
    <t>2019 рік</t>
  </si>
  <si>
    <t>2019 рік 
(прогноз)</t>
  </si>
  <si>
    <t>2019 рік (прогноз) зміни у разі передбачення додаткових коштів</t>
  </si>
  <si>
    <t>Планується погасити кредиторську заборгованість за рахунок коштів</t>
  </si>
  <si>
    <t>Вжиті заходи щодо погашення заборгованості</t>
  </si>
  <si>
    <t xml:space="preserve">Затверджено з урахуванням змін </t>
  </si>
  <si>
    <t>Зміна результативних показників, які характеризують виконання бюджетної програми, у разі передбачення додаткових коштів</t>
  </si>
  <si>
    <t>2019 рік (прогноз) у межах доведених індикативних прогнозних показників</t>
  </si>
  <si>
    <t>Перший заступник міського голови</t>
  </si>
  <si>
    <t>В.В.Войтенко</t>
  </si>
  <si>
    <t>Підсумковий рядок  таблиці пункту 2.1</t>
  </si>
  <si>
    <t>Підсумковий рядок  таблиці пункту 2.2</t>
  </si>
  <si>
    <t xml:space="preserve">Директор департаменту фінансів, економіки та інвестицій </t>
  </si>
  <si>
    <t>С.А.Липова</t>
  </si>
  <si>
    <t>2016 рік (звіт)</t>
  </si>
  <si>
    <t>2017 рік (затверджено зі змінами)</t>
  </si>
  <si>
    <t>2018 (проект)</t>
  </si>
  <si>
    <t>2020 рік (прогноз)</t>
  </si>
  <si>
    <t>Додаток 1</t>
  </si>
  <si>
    <t>до пункту 2 розділу І Інструкції</t>
  </si>
  <si>
    <t>з підготовки бюджетних запитів</t>
  </si>
  <si>
    <t>на 2018-2020 роки</t>
  </si>
  <si>
    <t>2020 рік
(прогноз)</t>
  </si>
  <si>
    <t>2018 рік (проект)</t>
  </si>
  <si>
    <t>2020 рік</t>
  </si>
  <si>
    <t>Бюджетні зобов'язання у 2016-2018 роках</t>
  </si>
  <si>
    <t>Дебіторська заборгованість на 01.01.2017</t>
  </si>
  <si>
    <t>Додаток 3</t>
  </si>
  <si>
    <t>Додаток 2</t>
  </si>
  <si>
    <t>Бюджетний запит на 2018-2020 роки додатковий, Форма 2018-3</t>
  </si>
  <si>
    <t>2018 рік (проект) в межах доведених граничних обсягів</t>
  </si>
  <si>
    <t>2018 рік (проект) зміни у разі виділення додаткових коштів</t>
  </si>
  <si>
    <t>2020 рік 
(прогноз)</t>
  </si>
  <si>
    <t>2020 рік (прогноз) у межах доведених індикативних прогнозних показників</t>
  </si>
  <si>
    <t>2020 рік (прогноз) зміни у разі передбачення додаткових коштів</t>
  </si>
  <si>
    <t>Наслідки, які настають у разі, якщо додаткові кошти не будуть передбачені у 2019-2020 роках, та альтернативні заходи, яких необхідно вжити для забезпечення виконання бюджетної програми</t>
  </si>
  <si>
    <t>(0) (2)</t>
  </si>
  <si>
    <t>(0) (2) (1)</t>
  </si>
  <si>
    <t>* Код програмної класифікації видатків та кредитування місцевих бюджетів, Структура якого затверджена наказом Міністерства фінансів України від 20.09.2017 року № 793 "Про затвердження складових програмної класифікації видатків та кредитування місцевих бюджетів"</t>
  </si>
  <si>
    <t>Оплата послуг (крім комунальних)</t>
  </si>
  <si>
    <t>Показник затрат</t>
  </si>
  <si>
    <t xml:space="preserve">обсяг витрат </t>
  </si>
  <si>
    <t>Показник продукту</t>
  </si>
  <si>
    <t>одн.</t>
  </si>
  <si>
    <t>Показник ефективності</t>
  </si>
  <si>
    <t>Субсидії і поточні трансферти підприємствам (установам, організаціям)</t>
  </si>
  <si>
    <t>Капітальні трансферти підприємствам (установам, організаціям)</t>
  </si>
  <si>
    <t>0217530</t>
  </si>
  <si>
    <t>"Інші заходи у сфері зв'язку, телекомунікацій та інформатики"</t>
  </si>
  <si>
    <t>0217531</t>
  </si>
  <si>
    <t>0217532</t>
  </si>
  <si>
    <t>0217533</t>
  </si>
  <si>
    <t>Підтримка функціонування Wi-Fi зон вільного доступу до мережі Інтернет в місті.</t>
  </si>
  <si>
    <t>Створення колективних точок та зон вільного доступу громадян до електронних сервісів міської ради та мережі Інтернет .</t>
  </si>
  <si>
    <t xml:space="preserve"> Розробка проектно-кошторисної документації по впровадженню комплексної системи підвищення безпеки громадян в місті Суми.</t>
  </si>
  <si>
    <t>Розробка проектно-кошторисної документації по інформатизації сфери пасажирських перевезень міста Суми.</t>
  </si>
  <si>
    <t>Обсяг витрат</t>
  </si>
  <si>
    <t>Кількість підтримуваних зон</t>
  </si>
  <si>
    <t>кількість заходів загальноміського характеру з охорони громадського порядку</t>
  </si>
  <si>
    <t>Погашення кредиторської заборгованості, що виникла станом на 01.01.2015 рік</t>
  </si>
  <si>
    <t>Затрат</t>
  </si>
  <si>
    <t>Обсяг кредиторської заборгованості</t>
  </si>
  <si>
    <t>звіт по заборгованості за бюджетними коштами( форма№ 7М)</t>
  </si>
  <si>
    <t>Обсяг кредиторської заборгованості, який планується погасити</t>
  </si>
  <si>
    <t>розрахунок до кошторису</t>
  </si>
  <si>
    <t>Відсоток погашення кредиторської заборгованості</t>
  </si>
  <si>
    <t>Створення колективних точок та зон вільного доступу громадян до електронних сервісів міської ради та мережі Інтернет за допомогою інформаційних терміналів та через мережу точок Wi-Fi доступу</t>
  </si>
  <si>
    <t xml:space="preserve">кількість обладнаних зон вільного доступу </t>
  </si>
  <si>
    <t>середні видатки на обладнання 1 зони вільного доступу</t>
  </si>
  <si>
    <t>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t>
  </si>
  <si>
    <t>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 розрахунок до кошторису, розрахунок до бюджетного запиту</t>
  </si>
  <si>
    <t xml:space="preserve">Міська програма "Автоматизація муніципальних телекомунікаційних систем на 2017-2019 роки в м. Суми" </t>
  </si>
  <si>
    <t>рішення Сумської міської ради від 21 грудня 2016 року № 1619-МР (зі змінами)</t>
  </si>
  <si>
    <t>Реорганізація та впорядкування локальних обчислювальних мереж Сумської міської ради</t>
  </si>
  <si>
    <t>Створення муніципальних волоконно-оптичних мереж</t>
  </si>
  <si>
    <t>Впровадження та підтримка роботи систем електронного документообігу</t>
  </si>
  <si>
    <t>Забезпечення безперебійного функціонування електронних сервісів та ІТ-послуг (забезпечення 2-ї лінії підтримки)</t>
  </si>
  <si>
    <t xml:space="preserve"> Забезпечення безперебійної роботи комп'ютерної техніки та локальних мереж</t>
  </si>
  <si>
    <t>Технічне забезпечення та супровід заходів міської ради</t>
  </si>
  <si>
    <t xml:space="preserve">Стандартизація парку комп’ютерної техніки та обладнання </t>
  </si>
  <si>
    <t>Розгортання новітніх ІТ-послуг.</t>
  </si>
  <si>
    <t>Супровід роботи та забезпечення працездатності систем виконавчих органів</t>
  </si>
  <si>
    <t>Забезпечення безперебійної роботи ІТ-послуг користувачів (забезпечення 1-ї лінії підтримки)</t>
  </si>
  <si>
    <t>Реалізація пілотних проектів щодо впровадження електронних сервісів в місті Суми</t>
  </si>
  <si>
    <t>РАЗОМ</t>
  </si>
  <si>
    <t>Програма "Автоматизація муніципальних телекомунікаційних систем на 2016-2018 роки в м. Суми")</t>
  </si>
  <si>
    <t>Касові видатки /надання кредитів</t>
  </si>
  <si>
    <t>Додаткові видатки/надання кредитів спеціального фонду місцевого бюджету</t>
  </si>
  <si>
    <t>Додаткові видатки / надання кредитів спеціального фонду місцевого бюджету на 2018 (плановий) рік за бюджетними програмами</t>
  </si>
  <si>
    <t>Обґрунтування необхідності додаткових коштів із спеціального фонду на 2018 рік
(обов’язкове посилання на нормативний документ, відповідно до якого існує необхідність у  додаткових коштах)</t>
  </si>
  <si>
    <t>Додаткові видатки / надання кредитів спеціального фонду місцевого бюджету на 2019-2020 (прогнозні) роки за бюджетними програмами</t>
  </si>
  <si>
    <t>Обґрунтування необхідності додаткових коштів із спеціального фонду на 2019-2020 роках (обов’язкове посилання на нормативний документ, відповідно до якого існує необхідність у  додаткових коштах)</t>
  </si>
  <si>
    <t xml:space="preserve"> Стандартизація парку комп’ютерної техніки та обладнання</t>
  </si>
  <si>
    <t>Ремонт комп’ютерної техніки Сумської міської ради, що вводиться в домен.</t>
  </si>
  <si>
    <t>Кількість комп'ютерів, які необхідно відремонтувати для введення в домен</t>
  </si>
  <si>
    <t>середньорічні витрати на ремонт 1 комп'ютеру</t>
  </si>
  <si>
    <t>Реорганізація та впорядкування локальних обчислювальних мереж Сумської міської ради.</t>
  </si>
  <si>
    <t>розрахунок до кошторису, розрахунок до бюджетного запиту</t>
  </si>
  <si>
    <t>Кількість робочих місць, які планується реорганізувати</t>
  </si>
  <si>
    <t>середньорічні витрати на реорганізацію 1 робочого місця</t>
  </si>
  <si>
    <t>Розвиток Wi-Fi-мережі міста</t>
  </si>
  <si>
    <t xml:space="preserve"> «Оренда каналів передачі даних»</t>
  </si>
  <si>
    <t>Середні видатки на оренду 1 км мереж, тис. грн.</t>
  </si>
  <si>
    <t>термін підтримки</t>
  </si>
  <si>
    <t>Середньомісячні видатки на підтримку  1 зони вільного доступу</t>
  </si>
  <si>
    <t>міс</t>
  </si>
  <si>
    <t xml:space="preserve"> розрахунок до кошторису, розрахунок до бюджетного запиту</t>
  </si>
  <si>
    <t>Кількість модулів системи, що планується підтримувати</t>
  </si>
  <si>
    <t>Середні видатки на впровадження 1 модуля системи</t>
  </si>
  <si>
    <t>Кількість робочих місць, які планується підтримувати</t>
  </si>
  <si>
    <t>Кількість місяців підтримки</t>
  </si>
  <si>
    <t>міс.</t>
  </si>
  <si>
    <t>Середні видатки на підтримку 1 робочого місця</t>
  </si>
  <si>
    <t>Розгортання новітніх ІТ-послуг</t>
  </si>
  <si>
    <t xml:space="preserve"> Розгортання ІТ-послуги Служба каталогу.</t>
  </si>
  <si>
    <t>Кількість комп’ютерів, на яких планується розгорнути послугу</t>
  </si>
  <si>
    <t>Середні видатки на розгортання послуги на 1 комп’ютері</t>
  </si>
  <si>
    <t>Кількість сервісів</t>
  </si>
  <si>
    <t>Середні видатки на забезпечення функціонування 1 електронного сервісу</t>
  </si>
  <si>
    <t>Підтримка роботи ІТ-послуги Служба каталогу</t>
  </si>
  <si>
    <t>Кількість користувачів, яким планується надавати підтримку</t>
  </si>
  <si>
    <t>Середні видатки на підтримку 1 користувача</t>
  </si>
  <si>
    <t xml:space="preserve"> Підтримка роботи комп’ютерної техніки та локальних мереж</t>
  </si>
  <si>
    <t>Кількість комп’ютерів, що планується підтримувати</t>
  </si>
  <si>
    <t xml:space="preserve">Середні видатки на підтримку 1 комп’ютера  </t>
  </si>
  <si>
    <t xml:space="preserve"> Зберігання резервних копій баз даних.</t>
  </si>
  <si>
    <t>Об’єм даних, що планується резервувати, Гб.</t>
  </si>
  <si>
    <t>Середні видатки на резервування 1 Гб</t>
  </si>
  <si>
    <t>Забезпечення функціонування структурованої кабельної системи</t>
  </si>
  <si>
    <t>Кількість робочих місць, які необхідно підтримувати</t>
  </si>
  <si>
    <t>Підтримка роботи систем відеоспостереження</t>
  </si>
  <si>
    <t>Кількість відеокамер, які необхідно підтримувати</t>
  </si>
  <si>
    <t>Середні видатки на підтримку 1 відеокамери</t>
  </si>
  <si>
    <t>Технічне забезпечення та супровід заходів міської ради.</t>
  </si>
  <si>
    <t>Технічне забезпечення проведення заходів міської ради.</t>
  </si>
  <si>
    <t>Кількість годин заходів, проведення яких планується забезпечувати</t>
  </si>
  <si>
    <t>Середні видатки на забезпечення 1 години проведення заходу</t>
  </si>
  <si>
    <t>Технічне забезпечення проведення засідань постійних депутатських комісій</t>
  </si>
  <si>
    <t>Кількість годин засідань комісій, що необхідно забезпечити</t>
  </si>
  <si>
    <t>Середні видатки на забезпечення 1 години проведення засідання</t>
  </si>
  <si>
    <t>Кількість місяців</t>
  </si>
  <si>
    <t>Середні видатки на підтримку 1 веб-ресурсу</t>
  </si>
  <si>
    <t>Реалізація пілотних проектів по впровадженню електронних сервісів</t>
  </si>
  <si>
    <t>Кількість етапів проекту, що планується реалізувати</t>
  </si>
  <si>
    <t>Середні видатки на забезпечення реалізації 1 проекту</t>
  </si>
  <si>
    <t>Виконання міської Програми "Автоматизація муніципальних телекомунікаційних систем на 2017-2019 роки в м. Суми"</t>
  </si>
  <si>
    <t>Капітальний ремонт інших об'єктів</t>
  </si>
  <si>
    <t>Формування міського комунального центру зберігання та обробки інформації</t>
  </si>
  <si>
    <t xml:space="preserve"> Впровадження та підтримка роботи систем автоматизації діловодства та комунікації з мешканцями</t>
  </si>
  <si>
    <t>Впровадження новітніх ІТ-послуг.</t>
  </si>
  <si>
    <t xml:space="preserve">Забезпечення безперебійної роботи системи електронного документообігу </t>
  </si>
  <si>
    <t>Пітримка роботи інформаційних систем Сумської міської ради</t>
  </si>
  <si>
    <t>Забезпечення роботи публічних ІТ-сервісів</t>
  </si>
  <si>
    <t>Забезпечення виконавчих органів програмними продуктами</t>
  </si>
  <si>
    <t xml:space="preserve"> Матеріальне забезпечення</t>
  </si>
  <si>
    <t>Кількість серверів, що необхідно придбати</t>
  </si>
  <si>
    <t>Формування міського комунального центру зберігання та обробки інформації
Оновлення парку серверного обладнання.</t>
  </si>
  <si>
    <t>Формування міського комунального центру зберігання та обробки інформації
Модернізація серверного обладнання Сумської міської ради.</t>
  </si>
  <si>
    <t>Кількість серверів, які необхідно модернізувати</t>
  </si>
  <si>
    <t>середньорічні витрати на модернізацію 1 серверу</t>
  </si>
  <si>
    <t>Кількість комутаційного та мережевого обладнання , що планується придбати</t>
  </si>
  <si>
    <t>Оновлення комп'ютерного парку СМР</t>
  </si>
  <si>
    <t>середні витрати на придбання одиниці обладнання</t>
  </si>
  <si>
    <t>середні витрати на придбання 1 комп'ютера</t>
  </si>
  <si>
    <t>Кількість друкуючого обладнання , що планується придбати</t>
  </si>
  <si>
    <t>Кількість  обладнання , що планується придбати</t>
  </si>
  <si>
    <t xml:space="preserve">Придбання комутаційного та мережевого обладнання для обчислювальних мереж Сумської міської ради </t>
  </si>
  <si>
    <t>Впровадження нової системи електронного документообігу</t>
  </si>
  <si>
    <t>Кількість системних блоків , що планується придбати</t>
  </si>
  <si>
    <t>Кількість персональних комп'ютерів , що планується придбати</t>
  </si>
  <si>
    <t>середні витрати на придбання 1 системного блоку</t>
  </si>
  <si>
    <t>середні витрати на придбання серверу</t>
  </si>
  <si>
    <t>3110</t>
  </si>
  <si>
    <t>3132</t>
  </si>
  <si>
    <t>Капітальне будівництво (придбання) інших об'єктів</t>
  </si>
  <si>
    <t>Створення нових сервісів в міській раді</t>
  </si>
  <si>
    <t>середні витрати на придбання одиниці друкуючого  обладнання</t>
  </si>
  <si>
    <t>Організація єдиного центру звернень громадян до міської ради</t>
  </si>
  <si>
    <t>Кількість робочих місць, що планується створити</t>
  </si>
  <si>
    <t xml:space="preserve">Середні видатки на створення 1 робочого місця, </t>
  </si>
  <si>
    <t>Опис бізнес-процесів виконавчих органів Сумської міської ради</t>
  </si>
  <si>
    <t>Кількість бізнес-процесів, що необхідно описати</t>
  </si>
  <si>
    <t>Впровадження та підтримка роботи систем автоматизації діловодства та комунікації з мешканцями</t>
  </si>
  <si>
    <t>Кількість систем, які планується розробити</t>
  </si>
  <si>
    <t>Кількість послуг</t>
  </si>
  <si>
    <t xml:space="preserve"> Конституція України, Бюджетний кодекс України,  рішення Сумської міської ради від 21.12.2017 року № 2909-МР "Про міський бюджет на 2018 рік", наказ Міністерства фінансів України від 27.07.2011 року №945 "Про затвердження Примірного переліку результативних показників бюджетних програм для місцевих бюджетів за видатками, що можуть здійснюватись  з усіх місцевих бюджетів" (зі змінами),наказ Міністерства фінансів України від 20.09.2017 року № 793 "Про затвердження складових програмної класифікації видатків та кредитування місцевих бюджетів", наказ Міністерства фінансів України від 26.08.2014року №836 "Про деякі питання проведення запровадження програмно-цільового методу складання та виконання місцевих бюджетів", 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t>
  </si>
  <si>
    <t>(0) (2) (1) (7 ) (5 ) (3 ) (0 )</t>
  </si>
  <si>
    <t>3122</t>
  </si>
  <si>
    <t>Кількість систем, які планується підтримувати</t>
  </si>
  <si>
    <t>Середні видатки на підтримку системи</t>
  </si>
  <si>
    <t xml:space="preserve"> Підтримка роботи інформаційних систем Сумської міської ради</t>
  </si>
  <si>
    <t>Кількість систем, що планується підтримувати</t>
  </si>
  <si>
    <t xml:space="preserve"> Забезпечення роботи публічних ІТ-сервісів</t>
  </si>
  <si>
    <t>Середні видатки на підтримку 1 системи</t>
  </si>
  <si>
    <t>Кількість сервісів, роботу яких планується забезпечити</t>
  </si>
  <si>
    <t xml:space="preserve"> Забезпечення виконавчих органів програмними продуктами</t>
  </si>
  <si>
    <t>Кількість програмних продуктів, які планується закупити</t>
  </si>
  <si>
    <t>Кількість робочих місць, які необхідно ліцензувати</t>
  </si>
  <si>
    <t>Середні видатки на придбання 1 ліцензії</t>
  </si>
  <si>
    <t>Середні видатки на придбання 1 програмного продукту</t>
  </si>
  <si>
    <t>Кількість ліцензій, які необхідно придбати</t>
  </si>
  <si>
    <t>Середньомісячні видатки на ліцензування 1 робочого місця</t>
  </si>
  <si>
    <t>Середньомісячні  видатки на забезпечення 1 сервісу</t>
  </si>
  <si>
    <t xml:space="preserve">Впровадження нової системи електронного документообігу </t>
  </si>
  <si>
    <t xml:space="preserve"> Забезпечення безперебійної роботи комп'ютерної техніки та локальних мереж.</t>
  </si>
  <si>
    <t>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 розрахунок до бюджетного запиту</t>
  </si>
  <si>
    <t>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 розрахунок до кошторису</t>
  </si>
  <si>
    <t>розрахунок до бюджетного запиту</t>
  </si>
  <si>
    <t>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  розрахунок до бюджетного запиту</t>
  </si>
  <si>
    <t>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змінами),розрахунок до бюджетного запиту</t>
  </si>
  <si>
    <t>Середні видатки на опис 1-го бізнес-процесу</t>
  </si>
  <si>
    <t>Середні видатки на розробку 1 системи</t>
  </si>
  <si>
    <t>(код Типової відомчої класифікації видатків та кредитування місцевих бюджетів)</t>
  </si>
  <si>
    <t>Бюджетний запит на 2019-2021 роки загальний, Форма 2019-1</t>
  </si>
  <si>
    <t xml:space="preserve">Розподіл граничного обсягу витрат загального фонду місцевого бюджету на 2019 рік та індикативних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</si>
  <si>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</si>
  <si>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</si>
  <si>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2017 рік
(звіт)</t>
  </si>
  <si>
    <t>2018 рік
(затверджено)</t>
  </si>
  <si>
    <t>2019 рік
(проект)</t>
  </si>
  <si>
    <t>2021 рік
(прогноз)</t>
  </si>
  <si>
    <t>УСЬОГО</t>
  </si>
  <si>
    <t xml:space="preserve">Розподіл граничного обсягу витрат спеціального фонду місцевого бюджету на 2019 рік та індикативних </t>
  </si>
  <si>
    <t>Бюджетний запит на 2019-2021 роки індивідуальний, Форма 2019-2</t>
  </si>
  <si>
    <t>1)</t>
  </si>
  <si>
    <t>2)</t>
  </si>
  <si>
    <t>(код Програмної класифікації видатків та кредитування місцевих бюджетів)</t>
  </si>
  <si>
    <t>3)</t>
  </si>
  <si>
    <t>2017 рік (звіт)</t>
  </si>
  <si>
    <t>2018 рік (затверджено)</t>
  </si>
  <si>
    <t>2019 (проект)</t>
  </si>
  <si>
    <t>у тому числі
бюджет розвитку</t>
  </si>
  <si>
    <t>разом (3+4)</t>
  </si>
  <si>
    <t>разом (7+8)</t>
  </si>
  <si>
    <t>разом (11+123)</t>
  </si>
  <si>
    <t>2021 рік (прогноз)</t>
  </si>
  <si>
    <t>Витрати за кодами Економічної класифікації видатків/Класифікації кредитування бюджету:</t>
  </si>
  <si>
    <t>Код Економічної класифікації видатків бюджету</t>
  </si>
  <si>
    <t>разом (11+12)</t>
  </si>
  <si>
    <t>Код Класифікації кредитування бюджету</t>
  </si>
  <si>
    <t>4)</t>
  </si>
  <si>
    <t>Напрями використання бюджетних коштів</t>
  </si>
  <si>
    <t>2017рік (звіт)</t>
  </si>
  <si>
    <t>2019  рік (проект)</t>
  </si>
  <si>
    <t>Витрати за напрямами використання бюджетних коштів:</t>
  </si>
  <si>
    <t>витрати за напрямами використання бюджетних коштів у 2017-2019 роках:</t>
  </si>
  <si>
    <t>Впровадження комплексних інформаційних систем</t>
  </si>
  <si>
    <t>Підвищення знань працівників виконавчих органів</t>
  </si>
  <si>
    <t>2017  рік (звіт)</t>
  </si>
  <si>
    <t>Оренда віртуальних серверних потужностей для потреб Сумської міської ради</t>
  </si>
  <si>
    <t>Кількість серверів, які планується орендувати, од.</t>
  </si>
  <si>
    <t>середньорічні витрати на оренду  1 серверу, грн.</t>
  </si>
  <si>
    <t>розрахунок до кошторису, до бюджетного запиту</t>
  </si>
  <si>
    <t xml:space="preserve"> звіт за 2017 рік, розрахунок до кошторису, розрахунок до бюджетного запиту</t>
  </si>
  <si>
    <t>Кількість автоматизованих робочих місць , що планується придбати</t>
  </si>
  <si>
    <t>Кількість планшетів , що планується придбати</t>
  </si>
  <si>
    <t>Кількість ноутбуків , що планується придбати</t>
  </si>
  <si>
    <t>Кількість сенсорних моноблоків , що планується придбати</t>
  </si>
  <si>
    <t>середні витрати на придбання 1 автоматизованого робочого місця</t>
  </si>
  <si>
    <t>середні витрати на придбання 1 планшету</t>
  </si>
  <si>
    <t>середні витрати на придбання 1 ноутбуку</t>
  </si>
  <si>
    <t>середні витрати на придбання 1 сенсорного моноблоку</t>
  </si>
  <si>
    <t>Модернізація комп'ютерної техніки Сумської міської ради, що вводиться в домен</t>
  </si>
  <si>
    <t>Кількість комп'ютерів, які необхідно модернізувати</t>
  </si>
  <si>
    <t>Середні видатки на модернізацію 1 комп'ютера</t>
  </si>
  <si>
    <t>Кількість картриджів , що планується придбати</t>
  </si>
  <si>
    <t>Кількість БФП , що планується придбати</t>
  </si>
  <si>
    <t>Придбання іншого обладнання та приладдя для виконавчих органів Сумської міської ради</t>
  </si>
  <si>
    <t>середні витрати на придбання одиниці іншого  обладнання</t>
  </si>
  <si>
    <t>Придбання друкуючого обладнання та витратних матеріалів для виконавчих органів Сумської міської ради</t>
  </si>
  <si>
    <t>Кількість модулів системи, що планується створити</t>
  </si>
  <si>
    <t>Середні видатки на створення 1 модуля</t>
  </si>
  <si>
    <t>кількість місяців</t>
  </si>
  <si>
    <t xml:space="preserve">Кількість каналів передачі даних </t>
  </si>
  <si>
    <t>Обсяг витрат, в тому числі:</t>
  </si>
  <si>
    <t xml:space="preserve"> - на оплату послуг</t>
  </si>
  <si>
    <t xml:space="preserve">    - на придбання матеріалів</t>
  </si>
  <si>
    <t>звіт за 2017 рік, розрахунок до кошторису, розрахунок до бюджетного запиту</t>
  </si>
  <si>
    <t xml:space="preserve"> звіт за 2017 рік,розрахунок до кошторису, розрахунок до бюджетного запиту</t>
  </si>
  <si>
    <t>Створення муніціпальних волоконно-оптичних мереж</t>
  </si>
  <si>
    <t>Забезпечення доступу до мережі Інтернет виконавчих органів</t>
  </si>
  <si>
    <t xml:space="preserve">Кількість інтернет-каналів </t>
  </si>
  <si>
    <t>Реєстрація доменних імен, сертифікатів SSL, серверів имен</t>
  </si>
  <si>
    <t>Кількість доменів</t>
  </si>
  <si>
    <t>Середні видатки на  1 інтернет-канал</t>
  </si>
  <si>
    <t>Середні видатки на оренду 1 каналу</t>
  </si>
  <si>
    <t>Середні витрати на  реєстрацію 1 домену</t>
  </si>
  <si>
    <t xml:space="preserve"> Впровадження системи контролю дій привілейованих користувачів</t>
  </si>
  <si>
    <t xml:space="preserve">Середні видатки на розгортання послуги </t>
  </si>
  <si>
    <t>Кількість завдань щодо забезпечення програмними продуктами</t>
  </si>
  <si>
    <t>Середні  видатки на 1 завдання щодо забезпечення програмними продуктами</t>
  </si>
  <si>
    <t>прогнозні індикативні показники на 2020-2021 роки</t>
  </si>
  <si>
    <t>Кількість обладнання , що планується придбати</t>
  </si>
  <si>
    <t>середні витрати на придбання 1 обладнання</t>
  </si>
  <si>
    <t>9. Структура видатків на оплату праці:</t>
  </si>
  <si>
    <t>2021 (прогноз)</t>
  </si>
  <si>
    <t>10. Чисельність зайнятих у бюджетних установах:</t>
  </si>
  <si>
    <t xml:space="preserve">2018 рік </t>
  </si>
  <si>
    <t>2021 рік</t>
  </si>
  <si>
    <t xml:space="preserve">Найменування місцевої/регіональної програми </t>
  </si>
  <si>
    <t>разом
(4+5)</t>
  </si>
  <si>
    <t>разом
(10+11)</t>
  </si>
  <si>
    <t>Найменування об'єкта відповідно до проектно-кошторисної документації</t>
  </si>
  <si>
    <t>Строк реалізації об'єкта (рік початку і завершення)</t>
  </si>
  <si>
    <t xml:space="preserve">Загальна вартість об'єкту </t>
  </si>
  <si>
    <t xml:space="preserve"> 2018 рік (затверджено)</t>
  </si>
  <si>
    <t xml:space="preserve"> 2019 рік (проект)</t>
  </si>
  <si>
    <t xml:space="preserve"> 2020 рік (прогноз)</t>
  </si>
  <si>
    <t>спеціальний фонд
(бюджет розвитку)</t>
  </si>
  <si>
    <t>рівень будівельної готовності об'єкта на кінець бюджетного періоду, %</t>
  </si>
  <si>
    <t>Аналіз результатів, досягнутих у наслідок використання коштів загального фонду бюджету у 2017 році, очікувані результати у 2018 році, обґрунтування необхідності передбачення витрат на 2019 - 2021 роки.</t>
  </si>
  <si>
    <t>Код Економічної класифікації видатків бюджету/Код Класифікації кредитування бюджету</t>
  </si>
  <si>
    <t>Кредиторська заборгованість на початок минулого бюджетного періоду</t>
  </si>
  <si>
    <t>Кредиторська заборгованість на кінець минулого бюджетного періоду</t>
  </si>
  <si>
    <t>Бюджетні зобов’язання (4+6)</t>
  </si>
  <si>
    <t>Зміна кредиторської заборгованості
(6-5)</t>
  </si>
  <si>
    <t>Кредиторська заборгованість на початок поточного бюджетного періоду</t>
  </si>
  <si>
    <t>Можлива кредиторська заборгованість на початок планового бюджетного періоду
(4-5-6)</t>
  </si>
  <si>
    <t>Очікуваний обсяг взяття поточних зобов’язань
(3-5)</t>
  </si>
  <si>
    <t>Очікуваний обсяг взяття поточних зобов’язань
(8-10)</t>
  </si>
  <si>
    <t>2210</t>
  </si>
  <si>
    <t>2240</t>
  </si>
  <si>
    <t>2610</t>
  </si>
  <si>
    <t>Дебіторська заборгованість на 01.01.2018</t>
  </si>
  <si>
    <t>Очікувана дебіторська заборгованість на 01.01.2019</t>
  </si>
  <si>
    <t>аналіз управління бюджетними зобов’язаннями та пропозиції щодо упорядкування бюджетних зобов’язань у 2019 році</t>
  </si>
  <si>
    <t>Підстави та обгрунтування видатків спеціального фонду на 2019 рік та на 2020-2021 роки за рахунок надходжень до спеціального фонду, аналіз результатів, досягнутих унаслідок використання коштів спеціального фонду бюджету у 2017 році, та очікувані результати у 2018 році.</t>
  </si>
  <si>
    <t>Бюджетний запит на 2019-2021 роки додатковий, Форма 2019-3</t>
  </si>
  <si>
    <t>Додаткові витрати  місцевого бюджету:</t>
  </si>
  <si>
    <t>2019 рік (проект)</t>
  </si>
  <si>
    <t>2019 рік (проект) в межах доведених граничних обсягів</t>
  </si>
  <si>
    <t>2021 рік 
(прогноз)</t>
  </si>
  <si>
    <t xml:space="preserve">Обґрунтування необхідності додаткових коштів  на 2020-2021 роки </t>
  </si>
  <si>
    <t>необхідно додатково
(+)</t>
  </si>
  <si>
    <t>2021 рік (прогноз) у межах доведених індикативних прогнозних показників</t>
  </si>
  <si>
    <t>2021 рік (прогноз) зміни у разі передбачення додаткових коштів</t>
  </si>
  <si>
    <t xml:space="preserve">Обґрунтування необхідності додаткових коштів на 2019 рік
</t>
  </si>
  <si>
    <t>2019 рік (проект) зміни у разі передбачення додаткових коштів</t>
  </si>
  <si>
    <t>звіт за 2017 рік,  розрахунок до бюджетного запиту</t>
  </si>
  <si>
    <t xml:space="preserve"> розрахунок до бюджетного запиту</t>
  </si>
  <si>
    <t>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 звіт за 2017 рік, розрахунок до кошторису, розрахунок до бюджетного запиту</t>
  </si>
  <si>
    <t>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 річний звіт за 2017 рік, розрахунок до кошторису, розрахунок до бюджетного запиту</t>
  </si>
  <si>
    <t>звіт за 2017 рік,  розрахунок до кошторису, розрахунок до бюджетного запиту</t>
  </si>
  <si>
    <t xml:space="preserve"> звіт за 2017 рік</t>
  </si>
  <si>
    <t>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змінами),звіт за 2017 рік</t>
  </si>
  <si>
    <t>звіт за 2017 рік, розрахунок до кошторису</t>
  </si>
  <si>
    <t>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 звіт за 2017 рік</t>
  </si>
  <si>
    <t>рішення Сумської міської ради від 21 грудня 2016 року № 1619-МР « Про Міську програму «Автоматизація муніципальних телекомунікаційних систем на 2017-2019 роки» (зі змінами),  розрахунок до кошторису, розрахунок до бюджетного запиту</t>
  </si>
  <si>
    <t xml:space="preserve">Підтримка роботи виконавчих органів </t>
  </si>
  <si>
    <t>Кількість заходів щодо навчання, підвищення кваліфікації та сертифікації працівників</t>
  </si>
  <si>
    <t>Середні видатки на один захід</t>
  </si>
  <si>
    <t>Найменування бюджетної програми згідно з Типовою програмною класифікацією видатків та кредитування місцевих бюджетів</t>
  </si>
  <si>
    <t>(Найменування бюджетної програми згідно з Типовою програмною класифікацією видатків та кредитування місцевих бюджетів)</t>
  </si>
  <si>
    <t>Мета  та завдання бюджетної програми на 2019-2021 роки</t>
  </si>
  <si>
    <t>мета бюджетної програми, строки її реалізації;</t>
  </si>
  <si>
    <t>завдання бюджетної програми;</t>
  </si>
  <si>
    <t>підстави для реалізації бюджетної програми;</t>
  </si>
  <si>
    <t>Надходження для виконання бюджетної програми:</t>
  </si>
  <si>
    <t>Місцеві/регіональні програми, які виконуються в межах  бюджетної програми:.</t>
  </si>
  <si>
    <t>Об'єкти, які виконуються в межах бюджетної програми за рахунок коштів бюджету розвитку у 2017-2019 роках:</t>
  </si>
  <si>
    <t>Наслідки у разі, якщо додаткові кошти не будуть передбачені у 2019 році, та альтернативні заходи, яких необхідно вжити для забезпечення виконання бюджетної програми</t>
  </si>
  <si>
    <t>прогнозних показників на 2020 і 2021 роки за бюджетними програмами:</t>
  </si>
  <si>
    <t>Заступник начальника відділу бухгалтерського обліку та звітності</t>
  </si>
  <si>
    <t>В.В.Цилюрик</t>
  </si>
  <si>
    <t>Впорядкування роботи у сфері інформаційних технологій у Сумській міській раді, у зв’язку з необхідністю покращення рівня зв’язку та обміну інформацією, забезпечення стандартизації парку комп’ютерної техніки та обладнання виконавчих органів Сумської міської ради, впровадження електронних сервісів.</t>
  </si>
  <si>
    <t>надходження для виконання бюджетної програми у 2017-2019 роках:</t>
  </si>
  <si>
    <t>надходження для виконання бюджетної програми у 2020-2021 роках:</t>
  </si>
  <si>
    <t>надання кредитів за кодами Класифікації кредитування бюджету у 2017-2019 роках:</t>
  </si>
  <si>
    <t>видатки за кодами Економічної класифікації видатків бюджету у 2017-2019 роках:</t>
  </si>
  <si>
    <t>видатки за кодами Економічної класифікації видатків бюджету у 2020-2021 роках:</t>
  </si>
  <si>
    <t>надання кредитів за кодами Класифікації кредитування бюджету у 2020-2021 роках:</t>
  </si>
  <si>
    <t>витрати за напрямами використання бюджетних коштів у 2020 -2021 роках:</t>
  </si>
  <si>
    <t>Результативні показники бюджетної програми:</t>
  </si>
  <si>
    <t>результативні показники бюджетної програми у 2017-2019 роках:</t>
  </si>
  <si>
    <t>разом (5+6)</t>
  </si>
  <si>
    <t>разом 11+12)</t>
  </si>
  <si>
    <t>разом(5+6)</t>
  </si>
  <si>
    <t>разом(11+12)</t>
  </si>
  <si>
    <t>місцеві/регіональні програми, які виконуються в межах  бюджетної програми у 2017-2019 роках:</t>
  </si>
  <si>
    <t>місцеві/регіональні програми, які виконуються в межах  бюджетної програми у 2020-2021 роках:</t>
  </si>
  <si>
    <t>додаткові витрати на 2019 (плановий) рік за бюджетними програмами:</t>
  </si>
  <si>
    <t>додаткові витрати на 2020-2021 роки за бюджетними програмами:</t>
  </si>
  <si>
    <t>Зміна результативних показників бюджетної програми у разі передбачення додаткових коштів:</t>
  </si>
  <si>
    <t>Наслідки у разі, якщо додаткові кошти не будуть передбачені у 2020-2021 роках, та альтернативні заходи, яких необхідно вжити для забезпечення виконання бюджетної програми:</t>
  </si>
  <si>
    <t>Наслідки, які настають у разі, якщо додаткові кошти не будуть передбачені у 2018 році, та альтернативні заходи, яких необхідно вжити для забезпечення виконання бюджетної програми:</t>
  </si>
  <si>
    <t xml:space="preserve">Міська програма "Автоматизація муніципальних телекомунікаційних систем на 2020-2022 роки в м. Суми" </t>
  </si>
  <si>
    <t xml:space="preserve">проект рішення Сумської міської ради </t>
  </si>
  <si>
    <t>У 2017 році кошти загального фонду було використано на  впровадження новітніх технологій для об'єднання населення , органів влади та органів місцевого самоврядування, комунальних служб, суб'єктів господарювання та суспільних організацій шляхом впровадження відповідних технологій, засобів та процесів заради підвищення технологій, забезпечення інформаційними технологіями громадян та бізнесу. створення колективних точок та зон вільного доступу громадян до електронних сервісів міської ради та мережі Інтернет за допомогою інформаційних терміналів та через мережу точок Wi-Fi доступу,а  також  для підтримки функціонування Wi-Fi зон вільного доступу до мережі Інтернет в місті. На 2018 рік кошти загального фонду заплановано для продовження впровадження новітніх технологій для об'єднання населення , органів влади та органів місцевого самоврядування, комунальних служб, суб'єктів господарювання та суспільних організацій шляхом впровадження відповідних технологій, засобів та процесів заради підвищення технологій, забезпечення інформаційними технологіями громадян та бізнесу. створення колективних точок та зон вільного доступу громадян до електронних сервісів міської ради та мережі Інтернет за допомогою інформаційних терміналів та через мережу точок Wi-Fi доступу,а  також  для підтримки функціонування Wi-Fi зон вільного доступу до мережі Інтернет в місті, на проведення експертизи проектно-кошторисної документації по впровадженню комплексної системи підвищення безпеки громадян та по інформатизації сфери пасажирських перевезень в місті Суми,на впровадження системи відеоспостереження у виконавчих органах СМР. На 2019 рік заплановано кошти на придбання друкуючого та іншого  обладнання для виконавчих органів Сумської міської ради, створення колективних точок та зон вільного доступу громадян до електронних сервісів міської ради та мережі Інтернет, та на забезпечення: створення муніціпальної волоконно-оптичної мережі, оренду каналів передачі даних, яка забезпечить реорганізацію та впорядкування локальних обчислювальних мереж Сумської міської ради, супроводження та підтримку програми електронного документообігу «Діло», супровід роботи та забезпечення працездатності систем виконавчих органів, забезпечення працездатності веб-ресурсів міської ради,  послуги з підтримки Wi – Fi функціонування вільного доступу до мережі Інтернет, підтримку роботи інформаційних систем Сумської міської ради, безперебійну роботу комп'ютерної техніки та локальних мереж, підтримку роботи інформаційних систем Сумської міської ради, роботу публічних ІТ-сервісів, забезпечення виконавчих органів програмними продуктами.</t>
  </si>
  <si>
    <t>Необхідність коштів на організацію єдиного центру звернень громадян до міської ради, впровадження та підтримку роботи систем електронного документообігу,впровадження та підтримка роботи систем автоматизації діловодства та комунікації з мешканцями, забезпечення виконавчих органів програмними продуктами, встановлення сучасних систем відеоспостереження у виконавчих органах Сумської міської ради,підвищення знань працівників виконавчих органів. Збільшення витрат на забезпечення безперебійного функціонування електронних сервісів та ІТ-послуг (забезпечення 2-ї лінії підтримки), забезпечення виконавчих органів програмними продуктами, технічну підтримку роботи веб-ресурсів міської ради, технічне забезпечення проведення заходів міської ради.</t>
  </si>
  <si>
    <t>Придбання іншого обладнання для виконавчих органів СМР</t>
  </si>
  <si>
    <t>од.</t>
  </si>
  <si>
    <t>обсяг витрат</t>
  </si>
  <si>
    <t>Кількість обладнання, яке необхідно придбати</t>
  </si>
  <si>
    <t>(найменування відповідального виконавця )</t>
  </si>
  <si>
    <t>0133</t>
  </si>
  <si>
    <r>
      <t xml:space="preserve">Мета: </t>
    </r>
    <r>
      <rPr>
        <sz val="12"/>
        <rFont val="Times New Roman"/>
        <family val="1"/>
      </rPr>
      <t xml:space="preserve"> об'єднання населення , органів влади та органів місцевого самоврядування, комунальних служб, суб'єктів господарювання та суспільних організацій шляхом впровадження відповідних технологій, засобів та процесів заради підвищення технологій, забезпечення інформаційними технологіями громадян та бізнесу.</t>
    </r>
    <r>
      <rPr>
        <b/>
        <sz val="12"/>
        <rFont val="Times New Roman"/>
        <family val="1"/>
      </rPr>
      <t xml:space="preserve"> Строки реалізації: </t>
    </r>
    <r>
      <rPr>
        <sz val="12"/>
        <rFont val="Times New Roman"/>
        <family val="1"/>
      </rPr>
      <t>2019 -2021 роки.</t>
    </r>
  </si>
  <si>
    <t>Кількість робочих місць</t>
  </si>
  <si>
    <t>кількість модулів системи</t>
  </si>
  <si>
    <t>Забезпечення безперебійної системи електронного докуменообігу</t>
  </si>
  <si>
    <t>Підтримка нової системи електронного документообігу (Мегаполіс)</t>
  </si>
  <si>
    <t>Встановлення сучасних систем відеоспостереження у виконавчих органах Сумської міської ради</t>
  </si>
  <si>
    <t xml:space="preserve"> звіт за 2017 рік, розрахунок до кошторису на 2018 рік, розрахунок до бюджетного запиту на 2019 рік</t>
  </si>
  <si>
    <t xml:space="preserve">2)  результативні показники бюджетної програми у 2020–2021 роках: </t>
  </si>
  <si>
    <t>У  2017 році заплановані кошти було використано на реорганізацію та впорядкування локальних обчислювальних мереж Сумської міської ради, які використано за призначенням.На 2018 рік заплановано кошти на формування міського комунального центру зберігання та обробки інформації, стандартизацію парку комп’ютерної техніки та обладнання.На 2019 рік заплановано кошти на оновлення комп’ютерного парку, придбання друкуючого та іншого обладнання  виконавчих органів Сумської міської ради,  модернізацію комп'ютерної техніки Сумської міської ради, що вводиться в домен.</t>
  </si>
  <si>
    <t xml:space="preserve">дебіторська заборгованость в 2017-2018  роках:      </t>
  </si>
  <si>
    <t xml:space="preserve">кредиторська заборгованість місцевого бюджету у 2018-2019  роках:                                 </t>
  </si>
  <si>
    <t xml:space="preserve">кредиторська заборгованість  місцевого бюджету у 2017 році:              </t>
  </si>
  <si>
    <t>Бюджетні зобов'язання у 2016-2018 роках:</t>
  </si>
  <si>
    <t>Дебіторська заборгованость в 2016-2017 (звітному та поточному) роках:</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</si>
</sst>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00"/>
    <numFmt numFmtId="195" formatCode="0.00000"/>
    <numFmt numFmtId="196" formatCode="0.0000"/>
    <numFmt numFmtId="197" formatCode="#,##0.0"/>
  </numFmts>
  <fonts count="86">
    <font>
      <sz val="12"/>
      <name val="Times New Roman"/>
      <family val="0"/>
    </font>
    <font>
      <b/>
      <sz val="12"/>
      <name val="Times New Roman"/>
      <family val="1"/>
    </font>
    <font>
      <sz val="10"/>
      <name val="Times New Roman"/>
      <family val="1"/>
    </font>
    <font>
      <sz val="11"/>
      <name val="Times New Roman"/>
      <family val="1"/>
    </font>
    <font>
      <sz val="9"/>
      <name val="Times New Roman"/>
      <family val="1"/>
    </font>
    <font>
      <b/>
      <sz val="11"/>
      <name val="Times New Roman"/>
      <family val="1"/>
    </font>
    <font>
      <b/>
      <sz val="10"/>
      <name val="Times New Roman"/>
      <family val="1"/>
    </font>
    <font>
      <sz val="8"/>
      <name val="Times New Roman"/>
      <family val="1"/>
    </font>
    <font>
      <b/>
      <sz val="14"/>
      <name val="Times New Roman"/>
      <family val="1"/>
    </font>
    <font>
      <u val="single"/>
      <sz val="12"/>
      <color indexed="12"/>
      <name val="Times New Roman"/>
      <family val="1"/>
    </font>
    <font>
      <u val="single"/>
      <sz val="12"/>
      <color indexed="36"/>
      <name val="Times New Roman"/>
      <family val="1"/>
    </font>
    <font>
      <sz val="10"/>
      <color indexed="8"/>
      <name val="Times New Roman CE"/>
      <family val="0"/>
    </font>
    <font>
      <sz val="12"/>
      <name val="Arial Cyr"/>
      <family val="0"/>
    </font>
    <font>
      <i/>
      <sz val="12"/>
      <name val="Times New Roman"/>
      <family val="1"/>
    </font>
    <font>
      <i/>
      <sz val="9"/>
      <name val="Times New Roman"/>
      <family val="1"/>
    </font>
    <font>
      <i/>
      <sz val="11"/>
      <name val="Times New Roman"/>
      <family val="1"/>
    </font>
    <font>
      <sz val="11"/>
      <name val="Times New Roman CE"/>
      <family val="1"/>
    </font>
    <font>
      <sz val="10"/>
      <name val="Times New Roman CE"/>
      <family val="1"/>
    </font>
    <font>
      <sz val="12"/>
      <color indexed="21"/>
      <name val="Times New Roman"/>
      <family val="1"/>
    </font>
    <font>
      <b/>
      <sz val="12"/>
      <color indexed="21"/>
      <name val="Times New Roman"/>
      <family val="1"/>
    </font>
    <font>
      <sz val="10"/>
      <color indexed="21"/>
      <name val="Times New Roman"/>
      <family val="1"/>
    </font>
    <font>
      <b/>
      <sz val="13"/>
      <name val="Times New Roman"/>
      <family val="1"/>
    </font>
    <font>
      <b/>
      <sz val="10"/>
      <name val="Times New Roman CE"/>
      <family val="0"/>
    </font>
    <font>
      <b/>
      <i/>
      <sz val="10"/>
      <name val="Times New Roman"/>
      <family val="1"/>
    </font>
    <font>
      <sz val="11"/>
      <name val="Times New Roman Cyr"/>
      <family val="0"/>
    </font>
    <font>
      <b/>
      <i/>
      <sz val="12"/>
      <name val="Times New Roman"/>
      <family val="1"/>
    </font>
    <font>
      <sz val="12"/>
      <color indexed="12"/>
      <name val="Times New Roman"/>
      <family val="1"/>
    </font>
    <font>
      <b/>
      <sz val="12"/>
      <color indexed="12"/>
      <name val="Times New Roman"/>
      <family val="1"/>
    </font>
    <font>
      <i/>
      <sz val="10"/>
      <name val="Times New Roman"/>
      <family val="1"/>
    </font>
    <font>
      <sz val="11"/>
      <color indexed="10"/>
      <name val="Times New Roman"/>
      <family val="1"/>
    </font>
    <font>
      <sz val="12"/>
      <color indexed="8"/>
      <name val="Times New Roman"/>
      <family val="1"/>
    </font>
    <font>
      <b/>
      <i/>
      <sz val="10"/>
      <name val="Times New Roman CE"/>
      <family val="0"/>
    </font>
    <font>
      <b/>
      <sz val="9"/>
      <name val="Times New Roman"/>
      <family val="1"/>
    </font>
    <font>
      <b/>
      <i/>
      <sz val="11"/>
      <name val="Times New Roman"/>
      <family val="1"/>
    </font>
    <font>
      <b/>
      <i/>
      <sz val="14"/>
      <name val="Times New Roman"/>
      <family val="1"/>
    </font>
    <font>
      <sz val="9"/>
      <name val="Tahoma"/>
      <family val="2"/>
    </font>
    <font>
      <b/>
      <sz val="9"/>
      <name val="Tahoma"/>
      <family val="2"/>
    </font>
    <font>
      <b/>
      <u val="single"/>
      <sz val="12"/>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56"/>
      <name val="Times New Roman"/>
      <family val="1"/>
    </font>
    <font>
      <sz val="12"/>
      <color indexed="10"/>
      <name val="Times New Roman"/>
      <family val="1"/>
    </font>
    <font>
      <sz val="10"/>
      <color indexed="10"/>
      <name val="Times New Roman"/>
      <family val="1"/>
    </font>
    <font>
      <b/>
      <i/>
      <sz val="12"/>
      <color indexed="60"/>
      <name val="Times New Roman"/>
      <family val="1"/>
    </font>
    <font>
      <b/>
      <i/>
      <sz val="10"/>
      <color indexed="60"/>
      <name val="Times New Roman"/>
      <family val="1"/>
    </font>
    <font>
      <sz val="12"/>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3"/>
      <name val="Times New Roman"/>
      <family val="1"/>
    </font>
    <font>
      <sz val="12"/>
      <color rgb="FFFF0000"/>
      <name val="Times New Roman"/>
      <family val="1"/>
    </font>
    <font>
      <sz val="10"/>
      <color rgb="FFFF0000"/>
      <name val="Times New Roman"/>
      <family val="1"/>
    </font>
    <font>
      <b/>
      <i/>
      <sz val="12"/>
      <color rgb="FFC00000"/>
      <name val="Times New Roman"/>
      <family val="1"/>
    </font>
    <font>
      <b/>
      <i/>
      <sz val="10"/>
      <color rgb="FFC00000"/>
      <name val="Times New Roman"/>
      <family val="1"/>
    </font>
    <font>
      <sz val="12"/>
      <color rgb="FFC00000"/>
      <name val="Times New Roman"/>
      <family val="1"/>
    </font>
    <font>
      <b/>
      <sz val="8"/>
      <name val="Times New Roman"/>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26"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7" borderId="7" applyNumberFormat="0" applyAlignment="0" applyProtection="0"/>
    <xf numFmtId="0" fontId="72" fillId="0" borderId="0" applyNumberFormat="0" applyFill="0" applyBorder="0" applyAlignment="0" applyProtection="0"/>
    <xf numFmtId="0" fontId="73" fillId="28" borderId="0" applyNumberFormat="0" applyBorder="0" applyAlignment="0" applyProtection="0"/>
    <xf numFmtId="0" fontId="0" fillId="0" borderId="0">
      <alignment/>
      <protection/>
    </xf>
    <xf numFmtId="0" fontId="12" fillId="0" borderId="0">
      <alignment/>
      <protection/>
    </xf>
    <xf numFmtId="0" fontId="10" fillId="0" borderId="0" applyNumberFormat="0" applyFill="0" applyBorder="0" applyAlignment="0" applyProtection="0"/>
    <xf numFmtId="0" fontId="74" fillId="29" borderId="0" applyNumberFormat="0" applyBorder="0" applyAlignment="0" applyProtection="0"/>
    <xf numFmtId="0" fontId="7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8" fillId="31" borderId="0" applyNumberFormat="0" applyBorder="0" applyAlignment="0" applyProtection="0"/>
  </cellStyleXfs>
  <cellXfs count="618">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0" xfId="0" applyFont="1" applyAlignment="1">
      <alignment horizontal="center"/>
    </xf>
    <xf numFmtId="0" fontId="2" fillId="0" borderId="10" xfId="0" applyFont="1" applyBorder="1" applyAlignment="1">
      <alignment horizontal="left" vertical="center" wrapText="1"/>
    </xf>
    <xf numFmtId="0" fontId="4" fillId="0" borderId="0" xfId="0" applyFont="1" applyAlignment="1">
      <alignment horizontal="center" vertical="top"/>
    </xf>
    <xf numFmtId="0" fontId="5" fillId="0" borderId="0" xfId="0" applyFont="1" applyAlignment="1">
      <alignment/>
    </xf>
    <xf numFmtId="0" fontId="4" fillId="0" borderId="10" xfId="0" applyFont="1" applyBorder="1" applyAlignment="1">
      <alignment horizontal="center" vertical="center" wrapText="1"/>
    </xf>
    <xf numFmtId="0" fontId="1" fillId="0" borderId="0" xfId="0" applyFont="1" applyAlignment="1">
      <alignment vertical="top"/>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0" applyFont="1" applyAlignment="1">
      <alignment horizontal="right"/>
    </xf>
    <xf numFmtId="16" fontId="1" fillId="0" borderId="0" xfId="0" applyNumberFormat="1" applyFont="1" applyAlignment="1">
      <alignment horizontal="right"/>
    </xf>
    <xf numFmtId="0" fontId="0" fillId="0" borderId="0" xfId="0" applyBorder="1" applyAlignment="1">
      <alignment/>
    </xf>
    <xf numFmtId="192" fontId="2" fillId="0" borderId="10" xfId="0" applyNumberFormat="1" applyFont="1" applyBorder="1" applyAlignment="1">
      <alignment horizontal="center" vertical="center" wrapText="1"/>
    </xf>
    <xf numFmtId="0" fontId="0" fillId="0" borderId="0" xfId="0" applyFont="1" applyAlignment="1">
      <alignment/>
    </xf>
    <xf numFmtId="0" fontId="6"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0" applyNumberFormat="1" applyFont="1" applyBorder="1" applyAlignment="1">
      <alignment horizontal="center"/>
    </xf>
    <xf numFmtId="49" fontId="1" fillId="0" borderId="0" xfId="0" applyNumberFormat="1" applyFont="1" applyBorder="1" applyAlignment="1">
      <alignment/>
    </xf>
    <xf numFmtId="0" fontId="1" fillId="0" borderId="0" xfId="0" applyFont="1" applyAlignment="1">
      <alignment horizontal="center"/>
    </xf>
    <xf numFmtId="0" fontId="1" fillId="0" borderId="0" xfId="0" applyFont="1" applyBorder="1" applyAlignment="1">
      <alignment/>
    </xf>
    <xf numFmtId="0" fontId="1" fillId="0" borderId="0" xfId="0" applyFont="1" applyAlignment="1">
      <alignment horizontal="right" vertical="top"/>
    </xf>
    <xf numFmtId="49" fontId="2" fillId="0" borderId="10" xfId="0" applyNumberFormat="1" applyFont="1" applyFill="1" applyBorder="1" applyAlignment="1">
      <alignment horizontal="center" vertical="center" wrapText="1"/>
    </xf>
    <xf numFmtId="0" fontId="1" fillId="0" borderId="0" xfId="0" applyFont="1" applyFill="1" applyAlignment="1">
      <alignment/>
    </xf>
    <xf numFmtId="0" fontId="14" fillId="0" borderId="10" xfId="0" applyFont="1" applyBorder="1" applyAlignment="1">
      <alignment horizontal="center" vertical="center" wrapText="1"/>
    </xf>
    <xf numFmtId="0" fontId="3" fillId="0" borderId="0" xfId="0" applyFont="1" applyFill="1" applyAlignment="1">
      <alignment horizontal="right"/>
    </xf>
    <xf numFmtId="0" fontId="2"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xf>
    <xf numFmtId="0" fontId="3" fillId="0" borderId="0" xfId="0" applyFont="1" applyAlignment="1">
      <alignment horizontal="right"/>
    </xf>
    <xf numFmtId="49" fontId="1" fillId="0" borderId="12"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0" fillId="0" borderId="0" xfId="0" applyFont="1" applyAlignment="1">
      <alignment/>
    </xf>
    <xf numFmtId="192" fontId="6" fillId="0" borderId="10" xfId="54" applyNumberFormat="1" applyFont="1" applyFill="1" applyBorder="1" applyAlignment="1">
      <alignment horizontal="center" vertical="top" wrapText="1"/>
      <protection/>
    </xf>
    <xf numFmtId="0" fontId="2" fillId="0" borderId="0" xfId="0"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xf>
    <xf numFmtId="0" fontId="2" fillId="0" borderId="10"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8" fillId="0" borderId="0" xfId="0" applyFont="1" applyAlignment="1">
      <alignment/>
    </xf>
    <xf numFmtId="0" fontId="19" fillId="0" borderId="0" xfId="0" applyFont="1" applyAlignment="1">
      <alignment horizontal="right"/>
    </xf>
    <xf numFmtId="0" fontId="19" fillId="0" borderId="0" xfId="0" applyFont="1" applyAlignment="1">
      <alignment/>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0" fillId="0" borderId="15" xfId="0" applyFont="1" applyBorder="1" applyAlignment="1">
      <alignment horizontal="center" vertical="top"/>
    </xf>
    <xf numFmtId="0" fontId="19" fillId="32" borderId="10" xfId="0" applyFont="1" applyFill="1" applyBorder="1" applyAlignment="1">
      <alignment horizontal="left" vertical="center" wrapText="1"/>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Fill="1" applyAlignment="1">
      <alignment wrapText="1"/>
    </xf>
    <xf numFmtId="0" fontId="0" fillId="0" borderId="0" xfId="0" applyFont="1" applyFill="1" applyAlignment="1">
      <alignment horizontal="justify" wrapText="1"/>
    </xf>
    <xf numFmtId="0" fontId="0" fillId="0" borderId="0" xfId="0" applyFont="1" applyAlignment="1">
      <alignment/>
    </xf>
    <xf numFmtId="0" fontId="0" fillId="0" borderId="0" xfId="0" applyFont="1" applyBorder="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vertical="top"/>
    </xf>
    <xf numFmtId="0" fontId="2" fillId="0" borderId="0" xfId="0" applyFont="1" applyAlignment="1">
      <alignment horizontal="center" vertical="top"/>
    </xf>
    <xf numFmtId="0" fontId="0" fillId="0" borderId="0" xfId="0" applyFont="1" applyAlignment="1">
      <alignment horizontal="center" vertical="center"/>
    </xf>
    <xf numFmtId="0" fontId="2" fillId="0" borderId="0" xfId="0" applyFont="1" applyBorder="1" applyAlignment="1">
      <alignment vertical="center" wrapText="1"/>
    </xf>
    <xf numFmtId="0" fontId="2" fillId="0" borderId="10" xfId="0" applyFont="1" applyBorder="1" applyAlignment="1">
      <alignment horizontal="center"/>
    </xf>
    <xf numFmtId="0" fontId="21" fillId="0" borderId="0" xfId="0" applyFont="1" applyAlignment="1">
      <alignment vertical="top" wrapText="1"/>
    </xf>
    <xf numFmtId="0" fontId="1" fillId="0" borderId="0" xfId="0" applyFont="1" applyAlignment="1">
      <alignment vertical="top" wrapText="1"/>
    </xf>
    <xf numFmtId="0" fontId="0" fillId="0" borderId="12" xfId="0" applyFont="1" applyBorder="1" applyAlignment="1">
      <alignment horizontal="center"/>
    </xf>
    <xf numFmtId="0" fontId="21" fillId="0" borderId="0" xfId="0" applyFont="1" applyAlignment="1">
      <alignment horizontal="center" vertical="top" wrapText="1"/>
    </xf>
    <xf numFmtId="0" fontId="21" fillId="0" borderId="0" xfId="0" applyFont="1" applyAlignment="1">
      <alignment horizontal="justify" vertical="top" wrapText="1"/>
    </xf>
    <xf numFmtId="0" fontId="0" fillId="0" borderId="10" xfId="0" applyFont="1" applyBorder="1" applyAlignment="1">
      <alignment/>
    </xf>
    <xf numFmtId="0" fontId="2" fillId="0" borderId="13"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1" fontId="2" fillId="0" borderId="10" xfId="0" applyNumberFormat="1" applyFont="1" applyBorder="1" applyAlignment="1">
      <alignment horizontal="center" vertical="center" wrapText="1"/>
    </xf>
    <xf numFmtId="1" fontId="2" fillId="0" borderId="10" xfId="0" applyNumberFormat="1" applyFont="1" applyFill="1" applyBorder="1" applyAlignment="1">
      <alignment horizontal="center" vertical="center" wrapText="1"/>
    </xf>
    <xf numFmtId="1" fontId="6" fillId="0" borderId="10" xfId="54" applyNumberFormat="1" applyFont="1" applyFill="1" applyBorder="1" applyAlignment="1">
      <alignment horizontal="center" vertical="top" wrapText="1"/>
      <protection/>
    </xf>
    <xf numFmtId="1" fontId="6"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0" xfId="0" applyFont="1" applyBorder="1" applyAlignment="1">
      <alignment horizontal="center" vertical="center" wrapText="1"/>
    </xf>
    <xf numFmtId="192" fontId="6" fillId="0" borderId="0" xfId="0" applyNumberFormat="1" applyFont="1" applyBorder="1" applyAlignment="1">
      <alignment horizontal="center" vertical="center" wrapText="1"/>
    </xf>
    <xf numFmtId="0" fontId="1" fillId="0" borderId="0" xfId="0" applyFont="1" applyBorder="1" applyAlignment="1">
      <alignment horizontal="center"/>
    </xf>
    <xf numFmtId="0" fontId="0" fillId="0" borderId="10" xfId="0" applyFont="1" applyFill="1" applyBorder="1" applyAlignment="1">
      <alignment horizontal="center" vertical="center"/>
    </xf>
    <xf numFmtId="0" fontId="1" fillId="0" borderId="10" xfId="0" applyFont="1" applyBorder="1" applyAlignment="1">
      <alignment/>
    </xf>
    <xf numFmtId="1"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20" fillId="32" borderId="13" xfId="0" applyFont="1" applyFill="1" applyBorder="1" applyAlignment="1">
      <alignment horizontal="center" vertical="center" wrapText="1"/>
    </xf>
    <xf numFmtId="1" fontId="20" fillId="32" borderId="13" xfId="0" applyNumberFormat="1" applyFont="1" applyFill="1" applyBorder="1" applyAlignment="1">
      <alignment horizontal="center" vertical="center" wrapText="1"/>
    </xf>
    <xf numFmtId="0" fontId="18" fillId="32" borderId="0" xfId="0" applyFont="1" applyFill="1" applyAlignment="1">
      <alignment/>
    </xf>
    <xf numFmtId="0" fontId="2" fillId="32" borderId="10" xfId="0" applyFont="1" applyFill="1" applyBorder="1" applyAlignment="1">
      <alignment horizontal="center" vertical="center" wrapText="1"/>
    </xf>
    <xf numFmtId="0" fontId="2" fillId="32" borderId="13" xfId="0" applyFont="1" applyFill="1" applyBorder="1" applyAlignment="1">
      <alignment horizontal="center" vertical="center" wrapText="1"/>
    </xf>
    <xf numFmtId="1" fontId="2" fillId="32" borderId="13"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0" fillId="0" borderId="10" xfId="0" applyFont="1" applyBorder="1" applyAlignment="1">
      <alignment horizontal="center"/>
    </xf>
    <xf numFmtId="2" fontId="2" fillId="0" borderId="10" xfId="0" applyNumberFormat="1" applyFont="1" applyFill="1" applyBorder="1" applyAlignment="1">
      <alignment horizontal="center" vertical="center" wrapText="1"/>
    </xf>
    <xf numFmtId="1" fontId="2" fillId="0" borderId="10" xfId="54" applyNumberFormat="1" applyFont="1" applyFill="1" applyBorder="1" applyAlignment="1">
      <alignment horizontal="center" vertical="top" wrapText="1"/>
      <protection/>
    </xf>
    <xf numFmtId="2" fontId="2" fillId="0" borderId="10" xfId="54" applyNumberFormat="1" applyFont="1" applyFill="1" applyBorder="1" applyAlignment="1">
      <alignment horizontal="center" vertical="top" wrapText="1"/>
      <protection/>
    </xf>
    <xf numFmtId="2" fontId="6" fillId="0" borderId="10" xfId="54" applyNumberFormat="1" applyFont="1" applyFill="1" applyBorder="1" applyAlignment="1">
      <alignment horizontal="center" vertical="top" wrapText="1"/>
      <protection/>
    </xf>
    <xf numFmtId="0" fontId="22" fillId="0" borderId="10" xfId="0" applyFont="1" applyBorder="1" applyAlignment="1">
      <alignment horizontal="left" vertical="top" wrapText="1"/>
    </xf>
    <xf numFmtId="0" fontId="4" fillId="0" borderId="11" xfId="0" applyFont="1" applyBorder="1" applyAlignment="1">
      <alignment horizontal="center" vertical="center" wrapText="1"/>
    </xf>
    <xf numFmtId="1"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6" fillId="0" borderId="16" xfId="0" applyFont="1" applyBorder="1" applyAlignment="1">
      <alignment vertical="center" wrapText="1"/>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6" fillId="0" borderId="14" xfId="0" applyFont="1" applyBorder="1" applyAlignment="1">
      <alignment vertical="center" wrapText="1"/>
    </xf>
    <xf numFmtId="0" fontId="26"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6" fillId="0" borderId="0" xfId="0" applyFont="1" applyAlignment="1">
      <alignment/>
    </xf>
    <xf numFmtId="0" fontId="27" fillId="0" borderId="0" xfId="0" applyFont="1" applyAlignment="1">
      <alignment/>
    </xf>
    <xf numFmtId="0" fontId="26" fillId="0" borderId="0" xfId="0" applyFont="1" applyAlignment="1">
      <alignment horizontal="center" wrapText="1"/>
    </xf>
    <xf numFmtId="0" fontId="26" fillId="0" borderId="0" xfId="0" applyFont="1" applyAlignment="1">
      <alignment/>
    </xf>
    <xf numFmtId="0" fontId="26" fillId="0" borderId="12" xfId="0" applyFont="1" applyFill="1" applyBorder="1" applyAlignment="1">
      <alignment horizontal="left" vertical="center" wrapText="1"/>
    </xf>
    <xf numFmtId="0" fontId="1" fillId="0" borderId="0" xfId="0" applyFont="1" applyBorder="1" applyAlignment="1">
      <alignment horizontal="right"/>
    </xf>
    <xf numFmtId="0" fontId="28" fillId="0" borderId="16"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1" fontId="6"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0" fontId="1" fillId="0" borderId="0" xfId="0" applyFont="1" applyBorder="1" applyAlignment="1">
      <alignment/>
    </xf>
    <xf numFmtId="0" fontId="1" fillId="0" borderId="0" xfId="0" applyFont="1" applyAlignment="1">
      <alignment vertical="center" wrapText="1"/>
    </xf>
    <xf numFmtId="0" fontId="1" fillId="0" borderId="0" xfId="0" applyFont="1" applyAlignment="1">
      <alignment horizontal="right" vertical="center"/>
    </xf>
    <xf numFmtId="0" fontId="28"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2" fillId="0" borderId="0" xfId="0" applyFont="1" applyAlignment="1">
      <alignment/>
    </xf>
    <xf numFmtId="1" fontId="2" fillId="0" borderId="10" xfId="0" applyNumberFormat="1" applyFont="1" applyBorder="1" applyAlignment="1">
      <alignment horizontal="center"/>
    </xf>
    <xf numFmtId="0" fontId="1" fillId="0" borderId="10" xfId="0" applyFont="1" applyBorder="1" applyAlignment="1">
      <alignment horizontal="left" vertical="center" wrapText="1"/>
    </xf>
    <xf numFmtId="0" fontId="30" fillId="0" borderId="0" xfId="0" applyFont="1" applyAlignment="1">
      <alignment/>
    </xf>
    <xf numFmtId="0" fontId="21" fillId="0" borderId="0" xfId="0" applyFont="1" applyAlignment="1">
      <alignment wrapText="1"/>
    </xf>
    <xf numFmtId="0" fontId="1" fillId="0" borderId="0" xfId="0" applyFont="1" applyAlignment="1">
      <alignment wrapText="1"/>
    </xf>
    <xf numFmtId="49" fontId="2" fillId="0" borderId="13" xfId="0" applyNumberFormat="1" applyFont="1" applyBorder="1" applyAlignment="1">
      <alignment horizontal="center" vertical="center" wrapText="1"/>
    </xf>
    <xf numFmtId="0" fontId="79" fillId="0" borderId="0" xfId="0" applyFont="1" applyAlignment="1">
      <alignment/>
    </xf>
    <xf numFmtId="0" fontId="1" fillId="0" borderId="0" xfId="0" applyFont="1" applyAlignment="1">
      <alignment horizontal="left" wrapText="1"/>
    </xf>
    <xf numFmtId="0" fontId="1" fillId="0" borderId="0" xfId="0" applyFont="1" applyAlignment="1">
      <alignment horizontal="right" vertical="distributed"/>
    </xf>
    <xf numFmtId="0" fontId="2" fillId="0" borderId="0" xfId="0" applyFont="1" applyAlignment="1">
      <alignment horizontal="center" vertical="center" wrapText="1"/>
    </xf>
    <xf numFmtId="0" fontId="0" fillId="0" borderId="10" xfId="0" applyFont="1" applyBorder="1" applyAlignment="1">
      <alignment/>
    </xf>
    <xf numFmtId="0" fontId="0" fillId="0" borderId="0" xfId="0" applyFont="1" applyAlignment="1">
      <alignment horizontal="center"/>
    </xf>
    <xf numFmtId="1" fontId="2" fillId="0" borderId="10" xfId="0" applyNumberFormat="1" applyFont="1" applyFill="1" applyBorder="1" applyAlignment="1">
      <alignment horizontal="center"/>
    </xf>
    <xf numFmtId="0" fontId="22" fillId="0" borderId="10" xfId="0" applyFont="1" applyBorder="1" applyAlignment="1">
      <alignment horizontal="left" vertical="center"/>
    </xf>
    <xf numFmtId="0" fontId="5" fillId="0" borderId="0" xfId="0" applyFont="1" applyAlignment="1">
      <alignment horizontal="justify" vertical="center" wrapText="1"/>
    </xf>
    <xf numFmtId="0" fontId="4" fillId="0" borderId="10" xfId="0" applyFont="1" applyBorder="1" applyAlignment="1">
      <alignment vertical="top" wrapText="1"/>
    </xf>
    <xf numFmtId="0" fontId="3" fillId="0" borderId="0" xfId="0" applyFont="1" applyFill="1" applyBorder="1" applyAlignment="1">
      <alignment horizontal="right"/>
    </xf>
    <xf numFmtId="0" fontId="4" fillId="0" borderId="10" xfId="0" applyFont="1" applyBorder="1" applyAlignment="1">
      <alignment horizontal="right" vertical="top" wrapText="1"/>
    </xf>
    <xf numFmtId="0" fontId="4" fillId="0" borderId="0" xfId="0" applyFont="1" applyFill="1" applyBorder="1" applyAlignment="1">
      <alignment vertical="top" wrapText="1"/>
    </xf>
    <xf numFmtId="0" fontId="13" fillId="0" borderId="0" xfId="0" applyFont="1" applyAlignment="1">
      <alignment/>
    </xf>
    <xf numFmtId="0" fontId="3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32" fillId="0" borderId="0" xfId="0" applyFont="1" applyAlignment="1">
      <alignment horizontal="justify"/>
    </xf>
    <xf numFmtId="0" fontId="4" fillId="0" borderId="0" xfId="0" applyFont="1" applyBorder="1" applyAlignment="1">
      <alignment vertical="top" wrapText="1"/>
    </xf>
    <xf numFmtId="0" fontId="4" fillId="0" borderId="0" xfId="0" applyFont="1" applyBorder="1" applyAlignment="1">
      <alignment horizontal="right" vertical="top" wrapText="1"/>
    </xf>
    <xf numFmtId="0" fontId="3" fillId="0" borderId="10" xfId="0" applyFont="1" applyBorder="1" applyAlignment="1">
      <alignment horizontal="justify" vertical="center" wrapText="1"/>
    </xf>
    <xf numFmtId="0" fontId="15" fillId="0" borderId="10" xfId="0" applyFont="1" applyBorder="1" applyAlignment="1">
      <alignment horizontal="justify" vertical="center" wrapText="1"/>
    </xf>
    <xf numFmtId="0" fontId="23" fillId="0" borderId="10" xfId="0" applyFont="1" applyBorder="1" applyAlignment="1">
      <alignment vertical="center" wrapText="1"/>
    </xf>
    <xf numFmtId="0" fontId="33" fillId="0" borderId="10" xfId="0" applyFont="1" applyBorder="1" applyAlignment="1">
      <alignment vertical="center" wrapText="1"/>
    </xf>
    <xf numFmtId="49" fontId="6" fillId="0" borderId="14"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80" fillId="0" borderId="0" xfId="0" applyFont="1" applyAlignment="1">
      <alignment/>
    </xf>
    <xf numFmtId="3" fontId="2" fillId="0" borderId="10" xfId="54" applyNumberFormat="1" applyFont="1" applyFill="1" applyBorder="1" applyAlignment="1">
      <alignment horizontal="center" vertical="center" wrapText="1"/>
      <protection/>
    </xf>
    <xf numFmtId="0" fontId="3" fillId="0" borderId="0" xfId="0" applyFont="1" applyFill="1" applyAlignment="1">
      <alignment/>
    </xf>
    <xf numFmtId="3" fontId="6" fillId="0" borderId="10" xfId="54" applyNumberFormat="1" applyFont="1" applyFill="1" applyBorder="1" applyAlignment="1">
      <alignment horizontal="center" vertical="center" wrapText="1"/>
      <protection/>
    </xf>
    <xf numFmtId="0" fontId="2" fillId="0" borderId="0" xfId="0" applyFont="1" applyFill="1" applyBorder="1" applyAlignment="1">
      <alignment horizontal="center"/>
    </xf>
    <xf numFmtId="0" fontId="2" fillId="0" borderId="0" xfId="0" applyFont="1" applyFill="1" applyAlignment="1">
      <alignment/>
    </xf>
    <xf numFmtId="49" fontId="25" fillId="0" borderId="10" xfId="0" applyNumberFormat="1" applyFont="1" applyBorder="1" applyAlignment="1">
      <alignment horizontal="center" vertical="center"/>
    </xf>
    <xf numFmtId="49" fontId="0" fillId="0" borderId="10" xfId="0" applyNumberFormat="1" applyFont="1" applyBorder="1" applyAlignment="1">
      <alignment/>
    </xf>
    <xf numFmtId="0" fontId="5" fillId="0" borderId="10" xfId="0" applyFont="1" applyBorder="1" applyAlignment="1">
      <alignment horizontal="left" vertical="center" wrapText="1"/>
    </xf>
    <xf numFmtId="192" fontId="1" fillId="0" borderId="10" xfId="0" applyNumberFormat="1" applyFont="1" applyBorder="1" applyAlignment="1">
      <alignment horizontal="center" vertical="center"/>
    </xf>
    <xf numFmtId="192" fontId="0" fillId="0" borderId="10" xfId="0" applyNumberFormat="1" applyFont="1" applyBorder="1" applyAlignment="1">
      <alignment horizontal="center" vertical="center"/>
    </xf>
    <xf numFmtId="3" fontId="2" fillId="0" borderId="10" xfId="0" applyNumberFormat="1" applyFont="1" applyFill="1" applyBorder="1" applyAlignment="1">
      <alignment horizontal="center" vertical="center"/>
    </xf>
    <xf numFmtId="3" fontId="2" fillId="0" borderId="10" xfId="0" applyNumberFormat="1" applyFont="1" applyFill="1" applyBorder="1" applyAlignment="1">
      <alignment vertical="center"/>
    </xf>
    <xf numFmtId="0" fontId="25" fillId="0" borderId="10" xfId="0" applyFont="1" applyBorder="1" applyAlignment="1">
      <alignment horizontal="left"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vertical="center"/>
    </xf>
    <xf numFmtId="0" fontId="25" fillId="0" borderId="0" xfId="0" applyFont="1" applyBorder="1" applyAlignment="1">
      <alignment vertical="center" wrapText="1"/>
    </xf>
    <xf numFmtId="0" fontId="25" fillId="0" borderId="17" xfId="0" applyFont="1" applyBorder="1" applyAlignment="1">
      <alignment vertical="center" wrapText="1"/>
    </xf>
    <xf numFmtId="0" fontId="23" fillId="0" borderId="10" xfId="0" applyFont="1" applyBorder="1" applyAlignment="1">
      <alignment horizontal="left" vertical="center" wrapText="1"/>
    </xf>
    <xf numFmtId="0" fontId="23" fillId="0" borderId="0" xfId="0" applyFont="1" applyBorder="1" applyAlignment="1">
      <alignment horizontal="center" vertical="center"/>
    </xf>
    <xf numFmtId="0" fontId="23" fillId="0" borderId="0" xfId="0" applyFont="1" applyBorder="1" applyAlignment="1">
      <alignment vertical="center"/>
    </xf>
    <xf numFmtId="1" fontId="0" fillId="0" borderId="10" xfId="0" applyNumberFormat="1" applyFont="1" applyFill="1" applyBorder="1" applyAlignment="1">
      <alignment/>
    </xf>
    <xf numFmtId="0" fontId="1" fillId="0" borderId="16" xfId="0" applyFont="1" applyBorder="1" applyAlignment="1">
      <alignment horizontal="left" vertical="center" wrapText="1"/>
    </xf>
    <xf numFmtId="1" fontId="81" fillId="0" borderId="0" xfId="0" applyNumberFormat="1" applyFont="1" applyBorder="1" applyAlignment="1">
      <alignment horizontal="center" vertical="center" wrapText="1"/>
    </xf>
    <xf numFmtId="0" fontId="5" fillId="0" borderId="0" xfId="0" applyFont="1" applyFill="1" applyAlignment="1">
      <alignment/>
    </xf>
    <xf numFmtId="0" fontId="22" fillId="0" borderId="10" xfId="0" applyFont="1" applyFill="1" applyBorder="1" applyAlignment="1">
      <alignment horizontal="left" vertical="center"/>
    </xf>
    <xf numFmtId="0" fontId="22" fillId="0" borderId="10" xfId="0" applyFont="1" applyFill="1" applyBorder="1" applyAlignment="1">
      <alignment horizontal="left" vertical="top" wrapText="1"/>
    </xf>
    <xf numFmtId="0" fontId="23" fillId="0" borderId="10" xfId="0" applyFont="1" applyBorder="1" applyAlignment="1">
      <alignment wrapText="1"/>
    </xf>
    <xf numFmtId="49" fontId="2" fillId="0" borderId="10" xfId="0" applyNumberFormat="1" applyFont="1" applyBorder="1" applyAlignment="1">
      <alignment/>
    </xf>
    <xf numFmtId="192" fontId="2"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0" xfId="0" applyNumberFormat="1" applyFont="1" applyBorder="1" applyAlignment="1">
      <alignment vertical="center"/>
    </xf>
    <xf numFmtId="3" fontId="2" fillId="0" borderId="16" xfId="0" applyNumberFormat="1" applyFont="1" applyFill="1" applyBorder="1" applyAlignment="1">
      <alignment horizontal="center" vertical="center"/>
    </xf>
    <xf numFmtId="3" fontId="2" fillId="32" borderId="10" xfId="0" applyNumberFormat="1" applyFont="1" applyFill="1" applyBorder="1" applyAlignment="1">
      <alignment horizontal="center" vertical="center"/>
    </xf>
    <xf numFmtId="49" fontId="1" fillId="0" borderId="10" xfId="0" applyNumberFormat="1" applyFont="1" applyBorder="1" applyAlignment="1">
      <alignment horizontal="center" vertical="center"/>
    </xf>
    <xf numFmtId="3" fontId="3"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3" fontId="0" fillId="0" borderId="10" xfId="0" applyNumberFormat="1" applyFont="1" applyFill="1" applyBorder="1" applyAlignment="1">
      <alignment horizontal="center" vertical="center"/>
    </xf>
    <xf numFmtId="3" fontId="0" fillId="0" borderId="10" xfId="0" applyNumberFormat="1" applyFont="1" applyFill="1" applyBorder="1" applyAlignment="1">
      <alignment vertical="center"/>
    </xf>
    <xf numFmtId="0" fontId="2" fillId="0" borderId="10" xfId="0" applyFont="1" applyFill="1" applyBorder="1" applyAlignment="1">
      <alignment horizontal="center" vertical="center"/>
    </xf>
    <xf numFmtId="49" fontId="1" fillId="0" borderId="10" xfId="0" applyNumberFormat="1" applyFont="1" applyBorder="1" applyAlignment="1">
      <alignment horizontal="center" vertical="center" wrapText="1"/>
    </xf>
    <xf numFmtId="3" fontId="0" fillId="0" borderId="0" xfId="0" applyNumberFormat="1" applyFont="1" applyFill="1" applyBorder="1" applyAlignment="1">
      <alignment horizontal="center" vertical="center"/>
    </xf>
    <xf numFmtId="192" fontId="2" fillId="0" borderId="13" xfId="0" applyNumberFormat="1" applyFont="1" applyBorder="1" applyAlignment="1">
      <alignment horizontal="center" vertical="center" wrapText="1"/>
    </xf>
    <xf numFmtId="1" fontId="20" fillId="0" borderId="13"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8" fillId="0" borderId="0" xfId="0" applyFont="1" applyFill="1" applyAlignment="1">
      <alignment/>
    </xf>
    <xf numFmtId="0" fontId="3" fillId="0" borderId="10" xfId="0" applyFont="1" applyBorder="1" applyAlignment="1">
      <alignment vertical="center" wrapText="1"/>
    </xf>
    <xf numFmtId="1" fontId="2" fillId="0" borderId="10" xfId="0" applyNumberFormat="1" applyFont="1" applyBorder="1" applyAlignment="1">
      <alignment horizontal="center" vertical="center"/>
    </xf>
    <xf numFmtId="0" fontId="0" fillId="0" borderId="10" xfId="0" applyBorder="1" applyAlignment="1">
      <alignment/>
    </xf>
    <xf numFmtId="1" fontId="0" fillId="0" borderId="10" xfId="0" applyNumberFormat="1" applyFont="1" applyBorder="1" applyAlignment="1">
      <alignment horizontal="center"/>
    </xf>
    <xf numFmtId="3" fontId="6" fillId="0" borderId="10" xfId="0" applyNumberFormat="1" applyFont="1" applyBorder="1" applyAlignment="1">
      <alignment horizontal="center"/>
    </xf>
    <xf numFmtId="0" fontId="26" fillId="0" borderId="0" xfId="53" applyFont="1">
      <alignment/>
      <protection/>
    </xf>
    <xf numFmtId="0" fontId="0" fillId="0" borderId="0" xfId="53" applyFont="1">
      <alignment/>
      <protection/>
    </xf>
    <xf numFmtId="0" fontId="1" fillId="0" borderId="0" xfId="53" applyFont="1" applyAlignment="1">
      <alignment horizontal="right"/>
      <protection/>
    </xf>
    <xf numFmtId="0" fontId="1" fillId="0" borderId="0" xfId="53" applyFont="1">
      <alignment/>
      <protection/>
    </xf>
    <xf numFmtId="0" fontId="3" fillId="0" borderId="0" xfId="53" applyFont="1" applyFill="1" applyAlignment="1">
      <alignment horizontal="right"/>
      <protection/>
    </xf>
    <xf numFmtId="0" fontId="2" fillId="0" borderId="13" xfId="53" applyFont="1" applyBorder="1" applyAlignment="1">
      <alignment horizontal="center" vertical="center" wrapText="1"/>
      <protection/>
    </xf>
    <xf numFmtId="0" fontId="2" fillId="0" borderId="11" xfId="53" applyFont="1" applyBorder="1" applyAlignment="1">
      <alignment horizontal="center" vertical="center" wrapText="1"/>
      <protection/>
    </xf>
    <xf numFmtId="0" fontId="2" fillId="0" borderId="10" xfId="53" applyFont="1" applyBorder="1" applyAlignment="1">
      <alignment horizontal="center"/>
      <protection/>
    </xf>
    <xf numFmtId="0" fontId="2" fillId="0" borderId="10" xfId="53" applyFont="1" applyBorder="1" applyAlignment="1">
      <alignment horizontal="center" vertical="center" wrapText="1"/>
      <protection/>
    </xf>
    <xf numFmtId="0" fontId="0" fillId="0" borderId="10" xfId="53" applyFont="1" applyBorder="1">
      <alignment/>
      <protection/>
    </xf>
    <xf numFmtId="0" fontId="6" fillId="0" borderId="10" xfId="53" applyFont="1" applyBorder="1" applyAlignment="1">
      <alignment horizontal="left" vertical="center" wrapText="1"/>
      <protection/>
    </xf>
    <xf numFmtId="49" fontId="2" fillId="0" borderId="10" xfId="53" applyNumberFormat="1" applyFont="1" applyFill="1" applyBorder="1" applyAlignment="1">
      <alignment horizontal="center" vertical="center" wrapText="1"/>
      <protection/>
    </xf>
    <xf numFmtId="0" fontId="2" fillId="0" borderId="10" xfId="53" applyFont="1" applyBorder="1" applyAlignment="1">
      <alignment horizontal="left" vertical="center" wrapText="1"/>
      <protection/>
    </xf>
    <xf numFmtId="1" fontId="2" fillId="0" borderId="10" xfId="53" applyNumberFormat="1" applyFont="1" applyBorder="1" applyAlignment="1">
      <alignment horizontal="center" vertical="center" wrapText="1"/>
      <protection/>
    </xf>
    <xf numFmtId="1" fontId="2" fillId="0" borderId="10" xfId="53" applyNumberFormat="1" applyFont="1" applyFill="1" applyBorder="1" applyAlignment="1">
      <alignment horizontal="center" vertical="center" wrapText="1"/>
      <protection/>
    </xf>
    <xf numFmtId="2" fontId="2" fillId="0" borderId="10" xfId="53" applyNumberFormat="1" applyFont="1" applyFill="1" applyBorder="1" applyAlignment="1">
      <alignment horizontal="center" vertical="center" wrapText="1"/>
      <protection/>
    </xf>
    <xf numFmtId="0" fontId="17" fillId="0" borderId="10" xfId="53" applyFont="1" applyBorder="1" applyAlignment="1">
      <alignment horizontal="left" vertical="center"/>
      <protection/>
    </xf>
    <xf numFmtId="0" fontId="22" fillId="0" borderId="10" xfId="53" applyFont="1" applyBorder="1" applyAlignment="1">
      <alignment horizontal="left" vertical="top" wrapText="1"/>
      <protection/>
    </xf>
    <xf numFmtId="0" fontId="2" fillId="0" borderId="0" xfId="53" applyFont="1" applyAlignment="1">
      <alignment horizontal="center"/>
      <protection/>
    </xf>
    <xf numFmtId="0" fontId="4" fillId="0" borderId="11" xfId="53" applyFont="1" applyBorder="1" applyAlignment="1">
      <alignment horizontal="center" vertical="center" wrapText="1"/>
      <protection/>
    </xf>
    <xf numFmtId="1" fontId="2" fillId="0" borderId="10" xfId="53" applyNumberFormat="1" applyFont="1" applyBorder="1" applyAlignment="1">
      <alignment horizontal="center"/>
      <protection/>
    </xf>
    <xf numFmtId="1" fontId="6" fillId="0" borderId="10" xfId="53" applyNumberFormat="1" applyFont="1" applyFill="1" applyBorder="1" applyAlignment="1">
      <alignment horizontal="center" vertical="center" wrapText="1"/>
      <protection/>
    </xf>
    <xf numFmtId="0" fontId="23" fillId="0" borderId="10" xfId="53" applyFont="1" applyBorder="1" applyAlignment="1">
      <alignment horizontal="left" vertical="center" wrapText="1"/>
      <protection/>
    </xf>
    <xf numFmtId="1" fontId="2" fillId="33" borderId="10" xfId="53" applyNumberFormat="1"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49" fontId="82" fillId="0" borderId="10" xfId="0" applyNumberFormat="1" applyFont="1" applyBorder="1" applyAlignment="1">
      <alignment horizontal="center" vertical="center"/>
    </xf>
    <xf numFmtId="0" fontId="83" fillId="0" borderId="10" xfId="0" applyFont="1" applyBorder="1" applyAlignment="1">
      <alignment wrapText="1"/>
    </xf>
    <xf numFmtId="0" fontId="84" fillId="0" borderId="0" xfId="0" applyFont="1" applyAlignment="1">
      <alignment/>
    </xf>
    <xf numFmtId="3" fontId="0" fillId="0" borderId="16" xfId="0" applyNumberFormat="1" applyFont="1" applyFill="1" applyBorder="1" applyAlignment="1">
      <alignment horizontal="center" vertical="center"/>
    </xf>
    <xf numFmtId="0" fontId="25" fillId="0" borderId="0" xfId="0" applyFont="1" applyBorder="1" applyAlignment="1">
      <alignment vertical="center"/>
    </xf>
    <xf numFmtId="3" fontId="2" fillId="0" borderId="0" xfId="0" applyNumberFormat="1" applyFont="1" applyBorder="1" applyAlignment="1">
      <alignment horizontal="center" vertical="center"/>
    </xf>
    <xf numFmtId="3" fontId="2" fillId="0" borderId="0" xfId="0" applyNumberFormat="1" applyFont="1" applyBorder="1" applyAlignment="1">
      <alignment vertical="center"/>
    </xf>
    <xf numFmtId="3" fontId="2" fillId="32" borderId="0" xfId="0" applyNumberFormat="1" applyFont="1" applyFill="1" applyBorder="1" applyAlignment="1">
      <alignment horizontal="center" vertical="center"/>
    </xf>
    <xf numFmtId="0" fontId="25" fillId="0" borderId="18" xfId="0" applyFont="1" applyBorder="1" applyAlignment="1">
      <alignment vertical="center" wrapText="1"/>
    </xf>
    <xf numFmtId="0" fontId="25" fillId="0" borderId="17" xfId="0" applyFont="1" applyBorder="1" applyAlignment="1">
      <alignment vertical="center"/>
    </xf>
    <xf numFmtId="0" fontId="25" fillId="0" borderId="16" xfId="0" applyFont="1" applyBorder="1" applyAlignment="1">
      <alignment vertical="center" wrapText="1"/>
    </xf>
    <xf numFmtId="0" fontId="25" fillId="0" borderId="15" xfId="0" applyFont="1" applyBorder="1" applyAlignment="1">
      <alignment vertical="center" wrapText="1"/>
    </xf>
    <xf numFmtId="0" fontId="25" fillId="0" borderId="19" xfId="0" applyFont="1" applyBorder="1" applyAlignment="1">
      <alignment vertical="center" wrapText="1"/>
    </xf>
    <xf numFmtId="3" fontId="0" fillId="0" borderId="0" xfId="0" applyNumberFormat="1" applyFont="1" applyFill="1" applyBorder="1" applyAlignment="1">
      <alignment vertical="center"/>
    </xf>
    <xf numFmtId="0" fontId="34" fillId="0" borderId="0" xfId="0" applyFont="1" applyBorder="1" applyAlignment="1">
      <alignment vertical="center" wrapText="1"/>
    </xf>
    <xf numFmtId="0" fontId="34" fillId="0" borderId="17" xfId="0" applyFont="1" applyBorder="1" applyAlignment="1">
      <alignment vertical="center" wrapText="1"/>
    </xf>
    <xf numFmtId="0" fontId="34" fillId="0" borderId="12" xfId="0" applyFont="1" applyFill="1" applyBorder="1" applyAlignment="1">
      <alignment vertical="center"/>
    </xf>
    <xf numFmtId="0" fontId="34" fillId="0" borderId="20" xfId="0" applyFont="1" applyFill="1" applyBorder="1" applyAlignment="1">
      <alignment vertical="center"/>
    </xf>
    <xf numFmtId="3" fontId="0" fillId="0" borderId="19"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0" fontId="2" fillId="0" borderId="10" xfId="0" applyFont="1" applyBorder="1" applyAlignment="1">
      <alignment wrapText="1"/>
    </xf>
    <xf numFmtId="49" fontId="2" fillId="0" borderId="14" xfId="0" applyNumberFormat="1" applyFont="1" applyBorder="1" applyAlignment="1">
      <alignment horizontal="center" vertical="center" wrapText="1"/>
    </xf>
    <xf numFmtId="0" fontId="34" fillId="0" borderId="0" xfId="0" applyFont="1" applyFill="1" applyBorder="1" applyAlignment="1">
      <alignment vertical="center"/>
    </xf>
    <xf numFmtId="0" fontId="1" fillId="0" borderId="11" xfId="0" applyFont="1" applyBorder="1" applyAlignment="1">
      <alignment horizontal="left" vertical="center" wrapText="1"/>
    </xf>
    <xf numFmtId="0" fontId="6" fillId="0" borderId="16" xfId="0" applyFont="1" applyBorder="1" applyAlignment="1">
      <alignment horizontal="center" vertical="center" wrapText="1"/>
    </xf>
    <xf numFmtId="192" fontId="0" fillId="0" borderId="10" xfId="0" applyNumberFormat="1" applyFont="1" applyFill="1" applyBorder="1" applyAlignment="1">
      <alignment horizontal="center" vertical="center"/>
    </xf>
    <xf numFmtId="3" fontId="2" fillId="0" borderId="14" xfId="0" applyNumberFormat="1" applyFont="1" applyBorder="1" applyAlignment="1">
      <alignment horizontal="center" vertical="center"/>
    </xf>
    <xf numFmtId="0" fontId="2" fillId="0" borderId="14" xfId="0" applyFont="1" applyFill="1" applyBorder="1" applyAlignment="1">
      <alignment vertical="center" wrapText="1"/>
    </xf>
    <xf numFmtId="0" fontId="2" fillId="0" borderId="16" xfId="0" applyFont="1" applyFill="1" applyBorder="1" applyAlignment="1">
      <alignment vertical="center" wrapText="1"/>
    </xf>
    <xf numFmtId="0" fontId="2" fillId="0" borderId="10" xfId="0" applyFont="1" applyFill="1" applyBorder="1" applyAlignment="1">
      <alignment vertical="center" wrapText="1"/>
    </xf>
    <xf numFmtId="0" fontId="0" fillId="0" borderId="0" xfId="0" applyFont="1" applyFill="1" applyBorder="1" applyAlignment="1">
      <alignment horizontal="left" vertical="top"/>
    </xf>
    <xf numFmtId="0" fontId="0" fillId="0" borderId="15" xfId="0" applyFont="1" applyBorder="1" applyAlignment="1">
      <alignment vertical="top"/>
    </xf>
    <xf numFmtId="49" fontId="6" fillId="0" borderId="0" xfId="0" applyNumberFormat="1" applyFont="1" applyBorder="1" applyAlignment="1">
      <alignment horizontal="center" vertical="center" wrapText="1"/>
    </xf>
    <xf numFmtId="49" fontId="6" fillId="0" borderId="0" xfId="0" applyNumberFormat="1" applyFont="1" applyFill="1" applyBorder="1" applyAlignment="1">
      <alignment horizontal="center" vertical="center" wrapText="1"/>
    </xf>
    <xf numFmtId="49" fontId="1" fillId="0" borderId="0" xfId="0" applyNumberFormat="1" applyFont="1" applyBorder="1" applyAlignment="1">
      <alignment horizontal="left" vertical="center" wrapText="1"/>
    </xf>
    <xf numFmtId="1" fontId="3" fillId="0" borderId="10" xfId="0" applyNumberFormat="1" applyFont="1" applyBorder="1" applyAlignment="1">
      <alignment horizontal="center" vertical="center"/>
    </xf>
    <xf numFmtId="0" fontId="3" fillId="0" borderId="10" xfId="0" applyFont="1" applyBorder="1" applyAlignment="1">
      <alignment wrapText="1"/>
    </xf>
    <xf numFmtId="3" fontId="1" fillId="0" borderId="10" xfId="0" applyNumberFormat="1" applyFont="1" applyBorder="1" applyAlignment="1">
      <alignment/>
    </xf>
    <xf numFmtId="49" fontId="25" fillId="0" borderId="10" xfId="0" applyNumberFormat="1" applyFont="1" applyFill="1" applyBorder="1" applyAlignment="1">
      <alignment horizontal="center" vertical="center"/>
    </xf>
    <xf numFmtId="0" fontId="23" fillId="0" borderId="10" xfId="0" applyFont="1" applyFill="1" applyBorder="1" applyAlignment="1">
      <alignment wrapText="1"/>
    </xf>
    <xf numFmtId="49" fontId="2" fillId="0" borderId="10" xfId="0" applyNumberFormat="1" applyFont="1" applyFill="1" applyBorder="1" applyAlignment="1">
      <alignment/>
    </xf>
    <xf numFmtId="0" fontId="6" fillId="0" borderId="10" xfId="0" applyFont="1" applyFill="1" applyBorder="1" applyAlignment="1">
      <alignment horizontal="left" vertical="center" wrapText="1"/>
    </xf>
    <xf numFmtId="192"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192" fontId="2" fillId="0" borderId="10" xfId="0" applyNumberFormat="1" applyFont="1" applyFill="1" applyBorder="1" applyAlignment="1">
      <alignment horizontal="center" vertical="center" wrapText="1"/>
    </xf>
    <xf numFmtId="49" fontId="0" fillId="0" borderId="10" xfId="0" applyNumberFormat="1" applyFont="1" applyFill="1" applyBorder="1" applyAlignment="1">
      <alignment/>
    </xf>
    <xf numFmtId="0" fontId="2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92" fontId="1" fillId="0" borderId="10" xfId="0" applyNumberFormat="1" applyFont="1" applyFill="1" applyBorder="1" applyAlignment="1">
      <alignment horizontal="center" vertical="center"/>
    </xf>
    <xf numFmtId="0" fontId="25" fillId="0" borderId="0" xfId="0" applyFont="1" applyFill="1" applyBorder="1" applyAlignment="1">
      <alignment vertical="center" wrapText="1"/>
    </xf>
    <xf numFmtId="0" fontId="25" fillId="0" borderId="17" xfId="0" applyFont="1" applyFill="1" applyBorder="1" applyAlignment="1">
      <alignment vertical="center" wrapText="1"/>
    </xf>
    <xf numFmtId="0" fontId="0" fillId="0" borderId="0" xfId="53" applyFont="1" applyBorder="1">
      <alignment/>
      <protection/>
    </xf>
    <xf numFmtId="0" fontId="2" fillId="0" borderId="0" xfId="53" applyFont="1" applyFill="1" applyBorder="1" applyAlignment="1">
      <alignment horizontal="center" vertical="center" wrapText="1"/>
      <protection/>
    </xf>
    <xf numFmtId="0" fontId="2" fillId="0" borderId="0" xfId="53" applyFont="1" applyBorder="1" applyAlignment="1">
      <alignment vertical="center" wrapText="1"/>
      <protection/>
    </xf>
    <xf numFmtId="0" fontId="2" fillId="0" borderId="14" xfId="53" applyFont="1" applyFill="1" applyBorder="1" applyAlignment="1">
      <alignment horizontal="center" vertical="center" wrapText="1"/>
      <protection/>
    </xf>
    <xf numFmtId="0" fontId="16" fillId="0" borderId="14" xfId="53" applyFont="1" applyBorder="1" applyAlignment="1">
      <alignment horizontal="right" vertical="center"/>
      <protection/>
    </xf>
    <xf numFmtId="0" fontId="16" fillId="0" borderId="0" xfId="53" applyFont="1" applyBorder="1" applyAlignment="1">
      <alignment horizontal="right" vertical="center"/>
      <protection/>
    </xf>
    <xf numFmtId="0" fontId="29" fillId="0" borderId="10" xfId="53" applyFont="1" applyBorder="1" applyAlignment="1">
      <alignment horizontal="left" vertical="center" wrapText="1"/>
      <protection/>
    </xf>
    <xf numFmtId="0" fontId="2" fillId="0" borderId="0" xfId="53" applyFont="1" applyBorder="1">
      <alignment/>
      <protection/>
    </xf>
    <xf numFmtId="0" fontId="17" fillId="0" borderId="14" xfId="53" applyFont="1" applyBorder="1" applyAlignment="1">
      <alignment horizontal="left" vertical="center"/>
      <protection/>
    </xf>
    <xf numFmtId="0" fontId="17" fillId="0" borderId="0" xfId="53" applyFont="1" applyBorder="1" applyAlignment="1">
      <alignment horizontal="left" vertical="center"/>
      <protection/>
    </xf>
    <xf numFmtId="0" fontId="6" fillId="0" borderId="10" xfId="53" applyFont="1" applyBorder="1" applyAlignment="1">
      <alignment horizontal="left"/>
      <protection/>
    </xf>
    <xf numFmtId="0" fontId="17" fillId="0" borderId="14" xfId="53" applyFont="1" applyBorder="1" applyAlignment="1">
      <alignment horizontal="center" vertical="center"/>
      <protection/>
    </xf>
    <xf numFmtId="0" fontId="17" fillId="0" borderId="0" xfId="53" applyFont="1" applyBorder="1" applyAlignment="1">
      <alignment horizontal="center" vertical="center"/>
      <protection/>
    </xf>
    <xf numFmtId="0" fontId="17" fillId="0" borderId="10" xfId="53" applyFont="1" applyBorder="1" applyAlignment="1">
      <alignment horizontal="left" vertical="top" wrapText="1"/>
      <protection/>
    </xf>
    <xf numFmtId="0" fontId="2" fillId="0" borderId="10" xfId="53" applyFont="1" applyBorder="1" applyAlignment="1">
      <alignment horizontal="center" vertical="center"/>
      <protection/>
    </xf>
    <xf numFmtId="0" fontId="23" fillId="0" borderId="0" xfId="53" applyFont="1" applyBorder="1">
      <alignment/>
      <protection/>
    </xf>
    <xf numFmtId="0" fontId="11" fillId="0" borderId="0" xfId="53" applyFont="1" applyBorder="1" applyAlignment="1">
      <alignment horizontal="center" vertical="center"/>
      <protection/>
    </xf>
    <xf numFmtId="0" fontId="17" fillId="0" borderId="0" xfId="53" applyFont="1" applyBorder="1" applyAlignment="1">
      <alignment horizontal="left" vertical="top" wrapText="1"/>
      <protection/>
    </xf>
    <xf numFmtId="0" fontId="2" fillId="0" borderId="0" xfId="53" applyFont="1" applyBorder="1" applyAlignment="1">
      <alignment horizontal="center" vertical="center"/>
      <protection/>
    </xf>
    <xf numFmtId="0" fontId="5" fillId="0" borderId="12" xfId="53" applyFont="1" applyBorder="1" applyAlignment="1">
      <alignment/>
      <protection/>
    </xf>
    <xf numFmtId="0" fontId="4" fillId="0" borderId="10" xfId="53" applyFont="1" applyBorder="1" applyAlignment="1">
      <alignment horizontal="center" vertical="center" wrapText="1"/>
      <protection/>
    </xf>
    <xf numFmtId="0" fontId="2" fillId="0" borderId="21"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4" fillId="0" borderId="10" xfId="53" applyNumberFormat="1" applyFont="1" applyFill="1" applyBorder="1" applyAlignment="1" applyProtection="1">
      <alignment horizontal="left" vertical="center" wrapText="1"/>
      <protection locked="0"/>
    </xf>
    <xf numFmtId="0" fontId="24" fillId="0" borderId="10" xfId="53" applyNumberFormat="1" applyFont="1" applyFill="1" applyBorder="1" applyAlignment="1" applyProtection="1">
      <alignment horizontal="center" vertical="center" wrapText="1"/>
      <protection locked="0"/>
    </xf>
    <xf numFmtId="49" fontId="24" fillId="0" borderId="10" xfId="53" applyNumberFormat="1" applyFont="1" applyFill="1" applyBorder="1" applyAlignment="1" applyProtection="1">
      <alignment horizontal="left" vertical="center" wrapText="1"/>
      <protection locked="0"/>
    </xf>
    <xf numFmtId="0" fontId="2" fillId="0" borderId="0" xfId="53" applyFont="1" applyBorder="1" applyAlignment="1">
      <alignment horizontal="left" vertical="center" wrapText="1"/>
      <protection/>
    </xf>
    <xf numFmtId="0" fontId="0" fillId="0" borderId="0" xfId="53">
      <alignment/>
      <protection/>
    </xf>
    <xf numFmtId="0" fontId="4" fillId="0" borderId="0" xfId="53" applyFont="1" applyAlignment="1">
      <alignment horizontal="center" vertical="top"/>
      <protection/>
    </xf>
    <xf numFmtId="0" fontId="2" fillId="0" borderId="0" xfId="53" applyFont="1" applyAlignment="1">
      <alignment horizontal="center" vertical="top"/>
      <protection/>
    </xf>
    <xf numFmtId="0" fontId="18" fillId="32" borderId="10" xfId="0" applyFont="1" applyFill="1" applyBorder="1" applyAlignment="1">
      <alignment/>
    </xf>
    <xf numFmtId="0" fontId="18" fillId="0" borderId="10" xfId="0" applyFont="1" applyFill="1" applyBorder="1" applyAlignment="1">
      <alignment/>
    </xf>
    <xf numFmtId="0" fontId="3" fillId="0" borderId="10" xfId="0" applyFont="1" applyBorder="1" applyAlignment="1">
      <alignment horizontal="center"/>
    </xf>
    <xf numFmtId="3" fontId="2" fillId="0" borderId="13"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2" fillId="0" borderId="18" xfId="53" applyFont="1" applyBorder="1" applyAlignment="1">
      <alignment vertical="center" wrapText="1"/>
      <protection/>
    </xf>
    <xf numFmtId="0" fontId="1" fillId="0" borderId="10" xfId="53" applyFont="1" applyBorder="1" applyAlignment="1">
      <alignment horizontal="left" vertical="center" wrapText="1"/>
      <protection/>
    </xf>
    <xf numFmtId="0" fontId="0" fillId="0" borderId="10" xfId="53" applyFont="1" applyBorder="1" applyAlignment="1">
      <alignment wrapText="1"/>
      <protection/>
    </xf>
    <xf numFmtId="0" fontId="0" fillId="0" borderId="10" xfId="53" applyFont="1" applyBorder="1" applyAlignment="1">
      <alignment horizontal="center"/>
      <protection/>
    </xf>
    <xf numFmtId="0" fontId="1" fillId="0" borderId="0" xfId="53" applyFont="1" applyAlignment="1">
      <alignment horizontal="right" vertical="top"/>
      <protection/>
    </xf>
    <xf numFmtId="0" fontId="19" fillId="0" borderId="0" xfId="53" applyFont="1" applyAlignment="1">
      <alignment horizontal="right"/>
      <protection/>
    </xf>
    <xf numFmtId="1" fontId="2" fillId="0" borderId="0" xfId="54" applyNumberFormat="1" applyFont="1" applyFill="1" applyBorder="1" applyAlignment="1">
      <alignment horizontal="center" vertical="top" wrapText="1"/>
      <protection/>
    </xf>
    <xf numFmtId="1" fontId="6" fillId="0" borderId="0" xfId="54" applyNumberFormat="1" applyFont="1" applyFill="1" applyBorder="1" applyAlignment="1">
      <alignment horizontal="center" vertical="top" wrapText="1"/>
      <protection/>
    </xf>
    <xf numFmtId="1" fontId="2" fillId="0" borderId="10" xfId="54" applyNumberFormat="1" applyFont="1" applyFill="1" applyBorder="1" applyAlignment="1">
      <alignment horizontal="center" vertical="center" wrapText="1"/>
      <protection/>
    </xf>
    <xf numFmtId="0" fontId="25" fillId="0" borderId="0" xfId="0" applyFont="1" applyFill="1" applyBorder="1" applyAlignment="1">
      <alignment vertical="center"/>
    </xf>
    <xf numFmtId="0" fontId="25" fillId="0" borderId="17" xfId="0" applyFont="1" applyFill="1" applyBorder="1" applyAlignment="1">
      <alignment vertical="center"/>
    </xf>
    <xf numFmtId="0" fontId="25" fillId="0" borderId="10" xfId="0" applyFont="1" applyBorder="1" applyAlignment="1">
      <alignment horizontal="center" vertical="center" wrapText="1"/>
    </xf>
    <xf numFmtId="3" fontId="2" fillId="0" borderId="14" xfId="0" applyNumberFormat="1" applyFont="1" applyFill="1" applyBorder="1" applyAlignment="1">
      <alignment horizontal="center" vertical="center"/>
    </xf>
    <xf numFmtId="0" fontId="25" fillId="0" borderId="10" xfId="0" applyFont="1" applyFill="1" applyBorder="1" applyAlignment="1">
      <alignment horizontal="center" vertical="center" wrapText="1"/>
    </xf>
    <xf numFmtId="0" fontId="8" fillId="0" borderId="0" xfId="0" applyFont="1" applyFill="1" applyBorder="1" applyAlignment="1">
      <alignment horizontal="center"/>
    </xf>
    <xf numFmtId="0" fontId="1" fillId="0" borderId="0" xfId="0" applyFont="1" applyFill="1" applyAlignment="1">
      <alignment horizontal="right"/>
    </xf>
    <xf numFmtId="0" fontId="0" fillId="0" borderId="0" xfId="0" applyFont="1" applyFill="1" applyAlignment="1">
      <alignment/>
    </xf>
    <xf numFmtId="0" fontId="6" fillId="0" borderId="0" xfId="0" applyFont="1" applyFill="1" applyAlignment="1">
      <alignment vertical="top"/>
    </xf>
    <xf numFmtId="0" fontId="2" fillId="0" borderId="0" xfId="0" applyFont="1" applyFill="1" applyBorder="1" applyAlignment="1">
      <alignment vertical="top" wrapText="1"/>
    </xf>
    <xf numFmtId="0" fontId="2" fillId="0" borderId="0" xfId="0" applyFont="1" applyFill="1" applyAlignment="1">
      <alignment vertical="top"/>
    </xf>
    <xf numFmtId="49" fontId="37" fillId="0" borderId="0" xfId="0" applyNumberFormat="1" applyFont="1" applyFill="1" applyBorder="1" applyAlignment="1">
      <alignment horizontal="center"/>
    </xf>
    <xf numFmtId="49" fontId="1" fillId="0" borderId="12" xfId="0" applyNumberFormat="1" applyFont="1" applyFill="1" applyBorder="1" applyAlignment="1">
      <alignment/>
    </xf>
    <xf numFmtId="0" fontId="2" fillId="0" borderId="0" xfId="0" applyFont="1" applyFill="1" applyBorder="1" applyAlignment="1">
      <alignment vertical="top"/>
    </xf>
    <xf numFmtId="0" fontId="1" fillId="0" borderId="0" xfId="0" applyFont="1" applyFill="1" applyAlignment="1">
      <alignment horizontal="right" vertical="distributed"/>
    </xf>
    <xf numFmtId="0" fontId="1" fillId="0" borderId="0" xfId="0" applyFont="1" applyFill="1" applyAlignment="1">
      <alignment horizontal="left" wrapText="1"/>
    </xf>
    <xf numFmtId="0" fontId="1" fillId="0" borderId="0" xfId="0" applyFont="1" applyFill="1" applyAlignment="1">
      <alignment horizontal="right" vertical="top"/>
    </xf>
    <xf numFmtId="0" fontId="2" fillId="0" borderId="14"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xf>
    <xf numFmtId="0" fontId="2" fillId="0" borderId="0" xfId="0" applyFont="1" applyFill="1" applyAlignment="1">
      <alignment horizontal="center"/>
    </xf>
    <xf numFmtId="0" fontId="23" fillId="0" borderId="10" xfId="0" applyFont="1" applyFill="1" applyBorder="1" applyAlignment="1">
      <alignment vertical="center" wrapText="1"/>
    </xf>
    <xf numFmtId="0" fontId="0" fillId="0" borderId="10" xfId="0" applyFont="1" applyFill="1" applyBorder="1" applyAlignment="1">
      <alignment/>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31" fillId="0" borderId="16" xfId="0" applyFont="1" applyFill="1" applyBorder="1" applyAlignment="1">
      <alignment vertical="top" wrapText="1"/>
    </xf>
    <xf numFmtId="0" fontId="5" fillId="0" borderId="0" xfId="0" applyFont="1" applyFill="1" applyAlignment="1">
      <alignment horizontal="justify" vertical="center" wrapText="1"/>
    </xf>
    <xf numFmtId="0" fontId="1" fillId="0" borderId="0" xfId="0" applyFont="1" applyFill="1" applyBorder="1" applyAlignment="1">
      <alignment/>
    </xf>
    <xf numFmtId="0" fontId="4" fillId="0" borderId="10" xfId="0" applyFont="1" applyFill="1" applyBorder="1" applyAlignment="1">
      <alignment vertical="top" wrapText="1"/>
    </xf>
    <xf numFmtId="0" fontId="4" fillId="0" borderId="10" xfId="0" applyFont="1" applyFill="1" applyBorder="1" applyAlignment="1">
      <alignment horizontal="right" vertical="top" wrapText="1"/>
    </xf>
    <xf numFmtId="0" fontId="13" fillId="0"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2" fillId="0" borderId="0" xfId="0" applyFont="1" applyFill="1" applyAlignment="1">
      <alignment horizontal="justify"/>
    </xf>
    <xf numFmtId="0" fontId="15" fillId="0" borderId="10" xfId="0" applyFont="1" applyFill="1" applyBorder="1" applyAlignment="1">
      <alignment horizontal="justify" vertical="center" wrapText="1"/>
    </xf>
    <xf numFmtId="0" fontId="2" fillId="0" borderId="0" xfId="0" applyFont="1" applyFill="1" applyBorder="1" applyAlignment="1">
      <alignment/>
    </xf>
    <xf numFmtId="0" fontId="1" fillId="0" borderId="0" xfId="0" applyFont="1" applyFill="1" applyAlignment="1">
      <alignment vertical="top" wrapText="1"/>
    </xf>
    <xf numFmtId="0" fontId="0" fillId="0" borderId="12" xfId="0" applyFont="1" applyFill="1" applyBorder="1" applyAlignment="1">
      <alignment horizontal="center"/>
    </xf>
    <xf numFmtId="0" fontId="21" fillId="0" borderId="0" xfId="0" applyFont="1" applyFill="1" applyAlignment="1">
      <alignment horizontal="center" vertical="top" wrapText="1"/>
    </xf>
    <xf numFmtId="0" fontId="21" fillId="0" borderId="0" xfId="0" applyFont="1" applyFill="1" applyAlignment="1">
      <alignment horizontal="justify" vertical="top" wrapText="1"/>
    </xf>
    <xf numFmtId="0" fontId="1" fillId="0" borderId="10" xfId="0" applyFont="1" applyBorder="1" applyAlignment="1">
      <alignment horizontal="center" vertical="center" wrapText="1"/>
    </xf>
    <xf numFmtId="0" fontId="84" fillId="0" borderId="10" xfId="0" applyFont="1" applyBorder="1" applyAlignment="1">
      <alignment/>
    </xf>
    <xf numFmtId="3" fontId="3" fillId="0"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1" xfId="0" applyFont="1" applyBorder="1" applyAlignment="1">
      <alignment horizontal="center" vertical="center" wrapText="1"/>
    </xf>
    <xf numFmtId="3" fontId="2" fillId="0" borderId="14" xfId="0" applyNumberFormat="1" applyFont="1" applyBorder="1" applyAlignment="1">
      <alignment vertical="center"/>
    </xf>
    <xf numFmtId="3" fontId="2" fillId="0" borderId="14" xfId="0" applyNumberFormat="1" applyFont="1" applyFill="1" applyBorder="1" applyAlignment="1">
      <alignment vertical="center"/>
    </xf>
    <xf numFmtId="3" fontId="0" fillId="0" borderId="14" xfId="0" applyNumberFormat="1" applyFont="1" applyFill="1" applyBorder="1" applyAlignment="1">
      <alignment vertical="center"/>
    </xf>
    <xf numFmtId="3" fontId="0" fillId="0" borderId="14" xfId="0" applyNumberFormat="1" applyFont="1" applyFill="1" applyBorder="1" applyAlignment="1">
      <alignment horizontal="center" vertical="center"/>
    </xf>
    <xf numFmtId="3" fontId="2" fillId="0" borderId="18" xfId="0" applyNumberFormat="1" applyFont="1" applyBorder="1" applyAlignment="1">
      <alignment vertical="center"/>
    </xf>
    <xf numFmtId="3" fontId="2" fillId="0" borderId="16" xfId="0" applyNumberFormat="1" applyFont="1" applyBorder="1" applyAlignment="1">
      <alignment vertical="center"/>
    </xf>
    <xf numFmtId="0" fontId="2" fillId="34" borderId="16" xfId="0" applyFont="1" applyFill="1" applyBorder="1" applyAlignment="1">
      <alignment vertical="center" wrapText="1"/>
    </xf>
    <xf numFmtId="3" fontId="2" fillId="34" borderId="10" xfId="0" applyNumberFormat="1" applyFont="1" applyFill="1" applyBorder="1" applyAlignment="1">
      <alignment horizontal="center" vertical="center"/>
    </xf>
    <xf numFmtId="1" fontId="6" fillId="34" borderId="10" xfId="54" applyNumberFormat="1" applyFont="1" applyFill="1" applyBorder="1" applyAlignment="1">
      <alignment horizontal="center" vertical="top" wrapText="1"/>
      <protection/>
    </xf>
    <xf numFmtId="0" fontId="2" fillId="34" borderId="10" xfId="0" applyFont="1" applyFill="1" applyBorder="1" applyAlignment="1">
      <alignment horizontal="center"/>
    </xf>
    <xf numFmtId="0" fontId="2" fillId="34" borderId="0" xfId="0" applyFont="1" applyFill="1" applyAlignment="1">
      <alignment horizontal="center"/>
    </xf>
    <xf numFmtId="0" fontId="2" fillId="34" borderId="0" xfId="0" applyFont="1" applyFill="1" applyBorder="1" applyAlignment="1">
      <alignment horizontal="center"/>
    </xf>
    <xf numFmtId="0" fontId="2" fillId="34" borderId="10" xfId="0" applyFont="1" applyFill="1" applyBorder="1" applyAlignment="1">
      <alignment vertical="center" wrapText="1"/>
    </xf>
    <xf numFmtId="0" fontId="2" fillId="0" borderId="14" xfId="0" applyFont="1" applyFill="1" applyBorder="1" applyAlignment="1">
      <alignment horizontal="center"/>
    </xf>
    <xf numFmtId="0" fontId="2" fillId="0" borderId="16" xfId="0" applyFont="1" applyFill="1" applyBorder="1" applyAlignment="1">
      <alignment horizontal="center"/>
    </xf>
    <xf numFmtId="0" fontId="0" fillId="0" borderId="14" xfId="0" applyFont="1" applyFill="1" applyBorder="1" applyAlignment="1">
      <alignment horizontal="center"/>
    </xf>
    <xf numFmtId="0" fontId="0" fillId="0" borderId="16" xfId="0" applyFont="1" applyFill="1" applyBorder="1" applyAlignment="1">
      <alignment horizontal="center"/>
    </xf>
    <xf numFmtId="3" fontId="2" fillId="0" borderId="10" xfId="54" applyNumberFormat="1" applyFont="1" applyFill="1" applyBorder="1" applyAlignment="1">
      <alignment horizontal="center" vertical="top" wrapText="1"/>
      <protection/>
    </xf>
    <xf numFmtId="3" fontId="6" fillId="0" borderId="10" xfId="54" applyNumberFormat="1" applyFont="1" applyFill="1" applyBorder="1" applyAlignment="1">
      <alignment horizontal="center" vertical="top" wrapText="1"/>
      <protection/>
    </xf>
    <xf numFmtId="3" fontId="6" fillId="34" borderId="10" xfId="54" applyNumberFormat="1" applyFont="1" applyFill="1" applyBorder="1" applyAlignment="1">
      <alignment horizontal="center" vertical="top" wrapText="1"/>
      <protection/>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32" fillId="0" borderId="10" xfId="0" applyFont="1" applyFill="1" applyBorder="1" applyAlignment="1">
      <alignment vertical="top" wrapText="1"/>
    </xf>
    <xf numFmtId="0" fontId="2" fillId="0" borderId="10" xfId="0" applyFont="1" applyFill="1" applyBorder="1" applyAlignment="1">
      <alignment/>
    </xf>
    <xf numFmtId="0" fontId="38" fillId="0" borderId="10" xfId="0" applyFont="1" applyFill="1" applyBorder="1" applyAlignment="1">
      <alignment vertical="top" wrapText="1"/>
    </xf>
    <xf numFmtId="49" fontId="2" fillId="0" borderId="16" xfId="0" applyNumberFormat="1" applyFont="1" applyFill="1" applyBorder="1" applyAlignment="1">
      <alignment horizontal="center" vertical="center" wrapText="1"/>
    </xf>
    <xf numFmtId="3" fontId="0" fillId="0" borderId="10" xfId="0" applyNumberFormat="1" applyFont="1" applyBorder="1" applyAlignment="1">
      <alignment horizontal="center" vertical="center"/>
    </xf>
    <xf numFmtId="3" fontId="0" fillId="0" borderId="10" xfId="0" applyNumberFormat="1" applyFont="1" applyBorder="1" applyAlignment="1">
      <alignment/>
    </xf>
    <xf numFmtId="3" fontId="0" fillId="0" borderId="10" xfId="0" applyNumberFormat="1" applyFont="1" applyBorder="1" applyAlignment="1">
      <alignment horizontal="center"/>
    </xf>
    <xf numFmtId="3" fontId="2" fillId="0" borderId="10" xfId="0" applyNumberFormat="1" applyFont="1" applyBorder="1" applyAlignment="1">
      <alignment horizontal="center"/>
    </xf>
    <xf numFmtId="0" fontId="3" fillId="0" borderId="10" xfId="0" applyFont="1" applyBorder="1" applyAlignment="1">
      <alignment horizontal="center" vertical="center"/>
    </xf>
    <xf numFmtId="0" fontId="2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1" fontId="6" fillId="0" borderId="14" xfId="0" applyNumberFormat="1" applyFont="1" applyBorder="1" applyAlignment="1">
      <alignment horizontal="center" vertical="center" wrapText="1"/>
    </xf>
    <xf numFmtId="1" fontId="6" fillId="0" borderId="16"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xf>
    <xf numFmtId="0" fontId="6" fillId="0" borderId="16" xfId="0" applyFont="1" applyBorder="1" applyAlignment="1">
      <alignment horizontal="center"/>
    </xf>
    <xf numFmtId="1" fontId="2" fillId="0" borderId="14"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8" fillId="0" borderId="22" xfId="0" applyFont="1" applyBorder="1" applyAlignment="1">
      <alignment horizontal="center"/>
    </xf>
    <xf numFmtId="0" fontId="1" fillId="0" borderId="12" xfId="0" applyFont="1" applyBorder="1" applyAlignment="1">
      <alignment horizontal="center"/>
    </xf>
    <xf numFmtId="0" fontId="0" fillId="0" borderId="0" xfId="0" applyFont="1" applyFill="1" applyAlignment="1">
      <alignment horizontal="left" vertical="center" wrapText="1"/>
    </xf>
    <xf numFmtId="0" fontId="0" fillId="0" borderId="0" xfId="0" applyFont="1" applyBorder="1" applyAlignment="1">
      <alignment horizontal="center" vertical="top"/>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horizontal="center" vertical="center" wrapText="1"/>
    </xf>
    <xf numFmtId="49" fontId="6" fillId="0" borderId="14"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0" xfId="0" applyFont="1" applyAlignment="1">
      <alignment horizontal="center" vertical="top" wrapText="1"/>
    </xf>
    <xf numFmtId="0" fontId="3" fillId="0" borderId="15" xfId="0" applyFont="1" applyBorder="1" applyAlignment="1">
      <alignment horizontal="center" vertical="top" wrapText="1"/>
    </xf>
    <xf numFmtId="1" fontId="6" fillId="0" borderId="10" xfId="0" applyNumberFormat="1" applyFont="1" applyBorder="1" applyAlignment="1">
      <alignment horizontal="center" vertical="center" wrapText="1"/>
    </xf>
    <xf numFmtId="0" fontId="21" fillId="0" borderId="0" xfId="0" applyFont="1" applyAlignment="1">
      <alignment horizontal="left"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distributed" wrapText="1"/>
    </xf>
    <xf numFmtId="0" fontId="1" fillId="0" borderId="12" xfId="0" applyFont="1" applyFill="1" applyBorder="1" applyAlignment="1">
      <alignment horizontal="center"/>
    </xf>
    <xf numFmtId="0" fontId="0" fillId="0" borderId="15" xfId="0" applyFont="1" applyBorder="1" applyAlignment="1">
      <alignment horizontal="center" vertical="top" wrapText="1"/>
    </xf>
    <xf numFmtId="0" fontId="13" fillId="0" borderId="0" xfId="0" applyFont="1" applyBorder="1" applyAlignment="1">
      <alignment horizontal="center" vertical="top"/>
    </xf>
    <xf numFmtId="0" fontId="13" fillId="0" borderId="15" xfId="0" applyFont="1" applyBorder="1" applyAlignment="1">
      <alignment horizontal="center" vertical="top"/>
    </xf>
    <xf numFmtId="49" fontId="1" fillId="0" borderId="12" xfId="0" applyNumberFormat="1" applyFont="1" applyFill="1" applyBorder="1" applyAlignment="1">
      <alignment horizontal="center"/>
    </xf>
    <xf numFmtId="0" fontId="0" fillId="0" borderId="0" xfId="0" applyFont="1" applyAlignment="1">
      <alignment horizontal="left" wrapText="1"/>
    </xf>
    <xf numFmtId="0" fontId="0" fillId="0" borderId="0" xfId="0" applyFont="1" applyFill="1" applyBorder="1" applyAlignment="1">
      <alignment horizontal="center" vertical="top"/>
    </xf>
    <xf numFmtId="0" fontId="1" fillId="0" borderId="0" xfId="0" applyFont="1" applyFill="1" applyAlignment="1">
      <alignment horizontal="justify" wrapText="1"/>
    </xf>
    <xf numFmtId="0" fontId="0" fillId="0" borderId="0" xfId="0" applyFont="1" applyFill="1" applyAlignment="1">
      <alignment horizontal="justify" wrapText="1"/>
    </xf>
    <xf numFmtId="0" fontId="18" fillId="0" borderId="14" xfId="0" applyFont="1" applyBorder="1" applyAlignment="1">
      <alignment horizontal="left" vertical="center" wrapText="1"/>
    </xf>
    <xf numFmtId="0" fontId="18" fillId="0" borderId="18" xfId="0" applyFont="1" applyBorder="1" applyAlignment="1">
      <alignment horizontal="left" vertical="center" wrapText="1"/>
    </xf>
    <xf numFmtId="0" fontId="18" fillId="0" borderId="16" xfId="0" applyFont="1" applyBorder="1" applyAlignment="1">
      <alignment horizontal="left"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horizontal="left" wrapText="1"/>
    </xf>
    <xf numFmtId="0" fontId="2" fillId="0" borderId="11" xfId="0" applyFont="1" applyBorder="1" applyAlignment="1">
      <alignment horizontal="center" vertical="center" wrapText="1"/>
    </xf>
    <xf numFmtId="0" fontId="25" fillId="0" borderId="10" xfId="0" applyFont="1" applyBorder="1" applyAlignment="1">
      <alignment horizontal="center" vertical="center" wrapText="1"/>
    </xf>
    <xf numFmtId="192" fontId="0" fillId="0" borderId="10" xfId="0" applyNumberFormat="1" applyFont="1" applyBorder="1" applyAlignment="1">
      <alignment horizontal="center" vertical="center"/>
    </xf>
    <xf numFmtId="192" fontId="2" fillId="0" borderId="13" xfId="0" applyNumberFormat="1" applyFont="1" applyBorder="1" applyAlignment="1">
      <alignment horizontal="center" vertical="center" wrapText="1"/>
    </xf>
    <xf numFmtId="192" fontId="2" fillId="0" borderId="11" xfId="0" applyNumberFormat="1" applyFont="1" applyBorder="1" applyAlignment="1">
      <alignment horizontal="center" vertical="center" wrapText="1"/>
    </xf>
    <xf numFmtId="0" fontId="34" fillId="0" borderId="10" xfId="0" applyFont="1" applyFill="1" applyBorder="1" applyAlignment="1">
      <alignment horizontal="center" vertical="center"/>
    </xf>
    <xf numFmtId="192" fontId="0" fillId="0" borderId="10" xfId="0" applyNumberFormat="1" applyFont="1" applyFill="1" applyBorder="1" applyAlignment="1">
      <alignment horizontal="center" vertical="center"/>
    </xf>
    <xf numFmtId="192" fontId="2" fillId="0" borderId="10" xfId="0" applyNumberFormat="1" applyFont="1" applyFill="1" applyBorder="1" applyAlignment="1">
      <alignment horizontal="center" vertical="center" wrapText="1"/>
    </xf>
    <xf numFmtId="3" fontId="2" fillId="0" borderId="0" xfId="0" applyNumberFormat="1" applyFont="1" applyBorder="1" applyAlignment="1">
      <alignment horizontal="center" vertical="center"/>
    </xf>
    <xf numFmtId="192"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10" xfId="0" applyNumberFormat="1" applyFont="1" applyFill="1" applyBorder="1" applyAlignment="1">
      <alignment horizontal="center" vertical="center"/>
    </xf>
    <xf numFmtId="3" fontId="3" fillId="0" borderId="10" xfId="0" applyNumberFormat="1" applyFont="1" applyBorder="1" applyAlignment="1">
      <alignment horizontal="center" vertical="center"/>
    </xf>
    <xf numFmtId="0" fontId="25" fillId="0" borderId="10" xfId="0" applyFont="1" applyBorder="1" applyAlignment="1">
      <alignment horizontal="center" vertical="center"/>
    </xf>
    <xf numFmtId="192" fontId="0" fillId="0" borderId="14" xfId="0" applyNumberFormat="1" applyFont="1" applyFill="1" applyBorder="1" applyAlignment="1">
      <alignment horizontal="center" vertical="center"/>
    </xf>
    <xf numFmtId="192" fontId="0" fillId="0" borderId="0" xfId="0" applyNumberFormat="1" applyFont="1" applyBorder="1" applyAlignment="1">
      <alignment horizontal="center" vertical="center"/>
    </xf>
    <xf numFmtId="0" fontId="25" fillId="0" borderId="14" xfId="0" applyFont="1" applyBorder="1" applyAlignment="1">
      <alignment horizontal="center" vertical="center" wrapText="1"/>
    </xf>
    <xf numFmtId="192" fontId="0" fillId="0" borderId="18" xfId="0" applyNumberFormat="1" applyFont="1" applyBorder="1" applyAlignment="1">
      <alignment horizontal="center" vertical="center"/>
    </xf>
    <xf numFmtId="192" fontId="0" fillId="0" borderId="16" xfId="0" applyNumberFormat="1" applyFont="1" applyBorder="1" applyAlignment="1">
      <alignment horizontal="center" vertical="center"/>
    </xf>
    <xf numFmtId="0" fontId="25" fillId="0" borderId="10" xfId="0" applyFont="1" applyFill="1" applyBorder="1" applyAlignment="1">
      <alignment horizontal="center" vertical="center" wrapText="1"/>
    </xf>
    <xf numFmtId="0" fontId="25" fillId="0" borderId="14" xfId="0" applyFont="1" applyFill="1" applyBorder="1" applyAlignment="1">
      <alignment horizontal="center" vertical="center" wrapText="1"/>
    </xf>
    <xf numFmtId="3" fontId="2" fillId="0" borderId="14"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3" fontId="2" fillId="0" borderId="14"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16" xfId="0" applyNumberFormat="1" applyFont="1" applyFill="1" applyBorder="1" applyAlignment="1">
      <alignment horizontal="center" vertical="center"/>
    </xf>
    <xf numFmtId="0" fontId="25"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18" xfId="0" applyFont="1" applyBorder="1" applyAlignment="1">
      <alignment horizontal="center" vertical="center"/>
    </xf>
    <xf numFmtId="0" fontId="82" fillId="0" borderId="0" xfId="0" applyFont="1" applyBorder="1" applyAlignment="1">
      <alignment horizontal="center" vertical="center"/>
    </xf>
    <xf numFmtId="0" fontId="82" fillId="0" borderId="17" xfId="0" applyFont="1" applyBorder="1" applyAlignment="1">
      <alignment horizontal="center" vertical="center"/>
    </xf>
    <xf numFmtId="3" fontId="3" fillId="0" borderId="10" xfId="0" applyNumberFormat="1" applyFont="1" applyFill="1" applyBorder="1" applyAlignment="1">
      <alignment horizontal="center" vertical="center"/>
    </xf>
    <xf numFmtId="4" fontId="3" fillId="0" borderId="10" xfId="0" applyNumberFormat="1" applyFont="1" applyBorder="1" applyAlignment="1">
      <alignment horizontal="center" vertical="center"/>
    </xf>
    <xf numFmtId="4" fontId="3" fillId="0" borderId="10" xfId="0" applyNumberFormat="1" applyFont="1" applyFill="1" applyBorder="1" applyAlignment="1">
      <alignment horizontal="center" vertical="center"/>
    </xf>
    <xf numFmtId="4" fontId="25"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92" fontId="0" fillId="0" borderId="0" xfId="0" applyNumberFormat="1" applyFont="1" applyFill="1" applyBorder="1" applyAlignment="1">
      <alignment horizontal="center" vertical="center"/>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10" xfId="0" applyFont="1" applyBorder="1" applyAlignment="1">
      <alignment horizontal="center" vertical="center"/>
    </xf>
    <xf numFmtId="0" fontId="34" fillId="0" borderId="14" xfId="0" applyFont="1" applyFill="1" applyBorder="1" applyAlignment="1">
      <alignment horizontal="center" vertical="center"/>
    </xf>
    <xf numFmtId="192" fontId="2" fillId="0" borderId="13" xfId="0" applyNumberFormat="1" applyFont="1" applyFill="1" applyBorder="1" applyAlignment="1">
      <alignment horizontal="center" vertical="center" wrapText="1"/>
    </xf>
    <xf numFmtId="192" fontId="2" fillId="0" borderId="21" xfId="0" applyNumberFormat="1" applyFont="1" applyFill="1" applyBorder="1" applyAlignment="1">
      <alignment horizontal="center" vertical="center" wrapText="1"/>
    </xf>
    <xf numFmtId="192" fontId="2" fillId="0" borderId="11" xfId="0" applyNumberFormat="1" applyFont="1" applyFill="1" applyBorder="1" applyAlignment="1">
      <alignment horizontal="center" vertical="center" wrapText="1"/>
    </xf>
    <xf numFmtId="0" fontId="1" fillId="0" borderId="0" xfId="53" applyFont="1" applyAlignment="1">
      <alignment horizontal="left"/>
      <protection/>
    </xf>
    <xf numFmtId="0" fontId="2" fillId="0" borderId="23" xfId="53" applyFont="1" applyFill="1" applyBorder="1" applyAlignment="1">
      <alignment horizontal="center" vertical="center" wrapText="1"/>
      <protection/>
    </xf>
    <xf numFmtId="0" fontId="2" fillId="0" borderId="24" xfId="53" applyFont="1" applyFill="1" applyBorder="1" applyAlignment="1">
      <alignment horizontal="center" vertical="center" wrapText="1"/>
      <protection/>
    </xf>
    <xf numFmtId="0" fontId="2" fillId="0" borderId="10" xfId="53" applyFont="1" applyBorder="1" applyAlignment="1">
      <alignment horizontal="center" vertical="center" wrapText="1"/>
      <protection/>
    </xf>
    <xf numFmtId="0" fontId="0" fillId="0" borderId="10" xfId="53" applyFont="1" applyBorder="1">
      <alignment/>
      <protection/>
    </xf>
    <xf numFmtId="0" fontId="2" fillId="0" borderId="14" xfId="53" applyFont="1" applyBorder="1" applyAlignment="1">
      <alignment horizontal="center" vertical="center" wrapText="1"/>
      <protection/>
    </xf>
    <xf numFmtId="0" fontId="2" fillId="0" borderId="16" xfId="53" applyFont="1" applyBorder="1" applyAlignment="1">
      <alignment horizontal="center" vertical="center" wrapText="1"/>
      <protection/>
    </xf>
    <xf numFmtId="0" fontId="2" fillId="0" borderId="25" xfId="53" applyFont="1" applyBorder="1" applyAlignment="1">
      <alignment horizontal="center" vertical="center" textRotation="90" wrapText="1"/>
      <protection/>
    </xf>
    <xf numFmtId="0" fontId="2" fillId="0" borderId="24" xfId="53" applyFont="1" applyBorder="1" applyAlignment="1">
      <alignment horizontal="center" vertical="center" textRotation="90" wrapText="1"/>
      <protection/>
    </xf>
    <xf numFmtId="0" fontId="2" fillId="0" borderId="13"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2" fillId="0" borderId="11"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0" xfId="53" applyFont="1" applyBorder="1" applyAlignment="1">
      <alignment horizontal="center" vertical="center" textRotation="90"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1" fillId="0" borderId="0" xfId="53" applyFont="1" applyAlignment="1">
      <alignment horizontal="left" vertical="center" wrapText="1"/>
      <protection/>
    </xf>
    <xf numFmtId="0" fontId="0" fillId="0" borderId="0" xfId="53" applyFont="1" applyFill="1" applyAlignment="1">
      <alignment horizontal="left" vertical="center" wrapText="1"/>
      <protection/>
    </xf>
    <xf numFmtId="0" fontId="1" fillId="0" borderId="0" xfId="53" applyFont="1" applyAlignment="1">
      <alignment horizontal="left" wrapText="1"/>
      <protection/>
    </xf>
    <xf numFmtId="0" fontId="1" fillId="0" borderId="0" xfId="0" applyFont="1" applyAlignment="1">
      <alignment horizontal="left"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xf>
    <xf numFmtId="0" fontId="2" fillId="0" borderId="16" xfId="0" applyFont="1" applyBorder="1" applyAlignment="1">
      <alignment horizontal="center"/>
    </xf>
    <xf numFmtId="49" fontId="6" fillId="0" borderId="14" xfId="0" applyNumberFormat="1" applyFont="1" applyBorder="1" applyAlignment="1">
      <alignment horizontal="center"/>
    </xf>
    <xf numFmtId="49" fontId="6" fillId="0" borderId="16" xfId="0" applyNumberFormat="1"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2" fillId="0" borderId="17" xfId="0" applyFont="1" applyBorder="1" applyAlignment="1">
      <alignment horizontal="center" vertical="center" wrapText="1"/>
    </xf>
    <xf numFmtId="49" fontId="2" fillId="0" borderId="14" xfId="0" applyNumberFormat="1" applyFont="1" applyBorder="1" applyAlignment="1">
      <alignment horizontal="center"/>
    </xf>
    <xf numFmtId="49" fontId="2" fillId="0" borderId="16" xfId="0" applyNumberFormat="1" applyFont="1" applyBorder="1" applyAlignment="1">
      <alignment horizontal="center"/>
    </xf>
    <xf numFmtId="0" fontId="2" fillId="0" borderId="14" xfId="53" applyFont="1" applyBorder="1" applyAlignment="1">
      <alignment horizontal="center"/>
      <protection/>
    </xf>
    <xf numFmtId="0" fontId="2" fillId="0" borderId="16" xfId="53" applyFont="1" applyBorder="1" applyAlignment="1">
      <alignment horizontal="center"/>
      <protection/>
    </xf>
    <xf numFmtId="0" fontId="0" fillId="0" borderId="14" xfId="53" applyFont="1" applyBorder="1" applyAlignment="1">
      <alignment horizontal="center"/>
      <protection/>
    </xf>
    <xf numFmtId="0" fontId="0" fillId="0" borderId="16" xfId="53" applyFont="1" applyBorder="1" applyAlignment="1">
      <alignment horizontal="center"/>
      <protection/>
    </xf>
    <xf numFmtId="0" fontId="0" fillId="0" borderId="12" xfId="0" applyFont="1" applyBorder="1" applyAlignment="1">
      <alignment horizontal="center"/>
    </xf>
    <xf numFmtId="0" fontId="0" fillId="0" borderId="0" xfId="0" applyFont="1" applyAlignment="1">
      <alignment horizontal="left" vertical="center" wrapText="1"/>
    </xf>
    <xf numFmtId="0" fontId="3" fillId="0" borderId="0" xfId="0" applyFont="1" applyBorder="1" applyAlignment="1">
      <alignment horizontal="center" vertical="top" wrapText="1"/>
    </xf>
    <xf numFmtId="0" fontId="15" fillId="0" borderId="14"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3" fillId="0" borderId="15" xfId="0" applyFont="1" applyFill="1" applyBorder="1" applyAlignment="1">
      <alignment horizontal="center" vertical="top" wrapText="1"/>
    </xf>
    <xf numFmtId="0" fontId="3" fillId="0" borderId="0" xfId="0" applyFont="1" applyFill="1" applyAlignment="1">
      <alignment horizontal="center" vertical="top" wrapText="1"/>
    </xf>
    <xf numFmtId="0" fontId="22" fillId="0" borderId="10" xfId="0" applyFont="1" applyFill="1" applyBorder="1" applyAlignment="1">
      <alignment horizontal="center" vertical="center"/>
    </xf>
    <xf numFmtId="0" fontId="4" fillId="0" borderId="14" xfId="0" applyFont="1" applyFill="1" applyBorder="1" applyAlignment="1">
      <alignment horizontal="center" vertical="top" wrapText="1"/>
    </xf>
    <xf numFmtId="0" fontId="4" fillId="0" borderId="16" xfId="0" applyFont="1" applyFill="1" applyBorder="1" applyAlignment="1">
      <alignment horizontal="center" vertical="top" wrapText="1"/>
    </xf>
    <xf numFmtId="0" fontId="1" fillId="0" borderId="0" xfId="0" applyFont="1" applyFill="1" applyAlignment="1">
      <alignment horizontal="left" vertical="top" wrapText="1"/>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0" xfId="0" applyFont="1" applyFill="1" applyAlignment="1">
      <alignment horizontal="left" wrapText="1"/>
    </xf>
    <xf numFmtId="0" fontId="3"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xf>
    <xf numFmtId="0" fontId="2" fillId="0" borderId="16" xfId="0" applyFont="1" applyFill="1" applyBorder="1" applyAlignment="1">
      <alignment horizontal="center"/>
    </xf>
    <xf numFmtId="0" fontId="0" fillId="0" borderId="14" xfId="0" applyFont="1" applyFill="1" applyBorder="1" applyAlignment="1">
      <alignment horizontal="center"/>
    </xf>
    <xf numFmtId="0" fontId="0" fillId="0" borderId="16" xfId="0" applyFont="1" applyFill="1" applyBorder="1" applyAlignment="1">
      <alignment horizontal="center"/>
    </xf>
    <xf numFmtId="0" fontId="2" fillId="0" borderId="10" xfId="0" applyFont="1" applyFill="1" applyBorder="1" applyAlignment="1">
      <alignment horizontal="center"/>
    </xf>
    <xf numFmtId="49" fontId="6" fillId="0" borderId="1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2" fillId="0" borderId="15"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0" borderId="22" xfId="0" applyFont="1" applyFill="1" applyBorder="1" applyAlignment="1">
      <alignment horizontal="center"/>
    </xf>
    <xf numFmtId="0" fontId="2" fillId="0" borderId="15" xfId="0" applyFont="1" applyFill="1" applyBorder="1" applyAlignment="1">
      <alignment horizontal="center" vertical="top"/>
    </xf>
    <xf numFmtId="0" fontId="0" fillId="0" borderId="15" xfId="0" applyFont="1" applyBorder="1" applyAlignment="1">
      <alignment horizontal="center" vertical="top"/>
    </xf>
    <xf numFmtId="0" fontId="23" fillId="0" borderId="14" xfId="0" applyFont="1" applyBorder="1" applyAlignment="1">
      <alignment horizontal="left" vertical="center" wrapText="1"/>
    </xf>
    <xf numFmtId="0" fontId="23" fillId="0" borderId="16" xfId="0" applyFont="1" applyBorder="1" applyAlignment="1">
      <alignment horizontal="left" vertical="center" wrapText="1"/>
    </xf>
    <xf numFmtId="0" fontId="31" fillId="0" borderId="14" xfId="0" applyFont="1" applyBorder="1" applyAlignment="1">
      <alignment horizontal="left" vertical="top" wrapText="1"/>
    </xf>
    <xf numFmtId="0" fontId="31" fillId="0" borderId="16" xfId="0" applyFont="1" applyBorder="1" applyAlignment="1">
      <alignment horizontal="left" vertical="top" wrapText="1"/>
    </xf>
    <xf numFmtId="0" fontId="2" fillId="0" borderId="10" xfId="0" applyFont="1" applyBorder="1" applyAlignment="1">
      <alignment horizontal="center"/>
    </xf>
    <xf numFmtId="0" fontId="13" fillId="0" borderId="0" xfId="0" applyFont="1" applyAlignment="1">
      <alignment horizontal="left"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3" fillId="0" borderId="15" xfId="0" applyFont="1" applyBorder="1" applyAlignment="1">
      <alignment horizontal="left" wrapText="1"/>
    </xf>
    <xf numFmtId="0" fontId="3" fillId="0" borderId="15" xfId="0" applyFont="1" applyBorder="1" applyAlignment="1">
      <alignment horizontal="left"/>
    </xf>
    <xf numFmtId="0" fontId="1" fillId="0" borderId="0" xfId="0" applyFont="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звіт ІІІкв форма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0&#1088;&#1110;&#1082;%20&#1085;&#1086;&#1074;&#1110;%20&#1050;&#1055;&#1050;&#1042;&#1050;\2018\&#1041;&#1102;&#1076;&#1078;&#1077;&#1090;&#1085;&#1080;&#1081;%20&#1079;&#1072;&#1087;&#1080;&#1090;\&#1047;&#1072;&#1087;&#1080;&#1090;%20&#1055;&#1062;&#1052;_2018%20&#1088;&#1110;&#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7-1(1;2;3;4)"/>
      <sheetName val="2018-2(1;2;3;4;5;.5.1,5.2)"/>
      <sheetName val="2018-2(6.1;6.2;6.3,6.4)"/>
      <sheetName val="2017-(7.1,7.2)"/>
      <sheetName val="2017-2(8.1,8.2)"/>
      <sheetName val="2017-2(9;10)"/>
      <sheetName val="2017-2(11.1;11.2)"/>
      <sheetName val="2017-2(12.1;12.2;13)"/>
      <sheetName val="2017-2(14)заг"/>
      <sheetName val="2017-2(14)спец"/>
      <sheetName val="2017-2(14.4-15"/>
      <sheetName val="2017-3додатковий"/>
      <sheetName val="2017 спец"/>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1:O45"/>
  <sheetViews>
    <sheetView tabSelected="1" view="pageBreakPreview" zoomScale="85" zoomScaleSheetLayoutView="85" zoomScalePageLayoutView="0" workbookViewId="0" topLeftCell="A1">
      <selection activeCell="E56" sqref="E56"/>
    </sheetView>
  </sheetViews>
  <sheetFormatPr defaultColWidth="9.00390625" defaultRowHeight="15.75"/>
  <cols>
    <col min="1" max="1" width="9.125" style="15" customWidth="1"/>
    <col min="2" max="2" width="9.25390625" style="15" customWidth="1"/>
    <col min="3" max="3" width="33.125" style="15" customWidth="1"/>
    <col min="4" max="4" width="14.75390625" style="15" customWidth="1"/>
    <col min="5" max="5" width="11.75390625" style="15" customWidth="1"/>
    <col min="6" max="6" width="10.125" style="15" customWidth="1"/>
    <col min="7" max="7" width="8.00390625" style="15" customWidth="1"/>
    <col min="8" max="8" width="10.00390625" style="15" customWidth="1"/>
    <col min="9" max="9" width="10.875" style="15" customWidth="1"/>
    <col min="10" max="10" width="11.375" style="15" customWidth="1"/>
    <col min="11" max="14" width="9.00390625" style="15" customWidth="1"/>
    <col min="15" max="15" width="10.125" style="15" customWidth="1"/>
    <col min="16" max="16384" width="9.00390625" style="15" customWidth="1"/>
  </cols>
  <sheetData>
    <row r="1" ht="15">
      <c r="L1" s="15" t="s">
        <v>128</v>
      </c>
    </row>
    <row r="2" ht="15">
      <c r="L2" s="15" t="s">
        <v>129</v>
      </c>
    </row>
    <row r="3" ht="15">
      <c r="L3" s="15" t="s">
        <v>130</v>
      </c>
    </row>
    <row r="5" spans="1:12" ht="18" thickBot="1">
      <c r="A5" s="433" t="s">
        <v>323</v>
      </c>
      <c r="B5" s="433"/>
      <c r="C5" s="433"/>
      <c r="D5" s="433"/>
      <c r="E5" s="433"/>
      <c r="F5" s="433"/>
      <c r="G5" s="433"/>
      <c r="H5" s="433"/>
      <c r="I5" s="433"/>
      <c r="J5" s="433"/>
      <c r="L5" s="138"/>
    </row>
    <row r="7" spans="1:10" ht="20.25" customHeight="1">
      <c r="A7" s="11" t="s">
        <v>16</v>
      </c>
      <c r="B7" s="434" t="s">
        <v>35</v>
      </c>
      <c r="C7" s="434"/>
      <c r="D7" s="434"/>
      <c r="E7" s="434"/>
      <c r="F7" s="434"/>
      <c r="G7" s="21"/>
      <c r="H7" s="31" t="s">
        <v>146</v>
      </c>
      <c r="I7" s="19"/>
      <c r="J7" s="18"/>
    </row>
    <row r="8" spans="1:14" ht="15">
      <c r="A8" s="8" t="s">
        <v>1</v>
      </c>
      <c r="B8" s="436" t="s">
        <v>45</v>
      </c>
      <c r="C8" s="436"/>
      <c r="D8" s="436"/>
      <c r="E8" s="436"/>
      <c r="F8" s="436"/>
      <c r="G8" s="436" t="s">
        <v>322</v>
      </c>
      <c r="H8" s="436"/>
      <c r="I8" s="436"/>
      <c r="J8" s="436"/>
      <c r="K8" s="436"/>
      <c r="L8" s="436"/>
      <c r="M8" s="436"/>
      <c r="N8" s="436"/>
    </row>
    <row r="9" spans="1:2" ht="15">
      <c r="A9" s="1"/>
      <c r="B9" s="1"/>
    </row>
    <row r="10" spans="1:3" ht="15">
      <c r="A10" s="11" t="s">
        <v>18</v>
      </c>
      <c r="B10" s="24" t="s">
        <v>64</v>
      </c>
      <c r="C10" s="24"/>
    </row>
    <row r="11" spans="1:2" ht="15">
      <c r="A11" s="1"/>
      <c r="B11" s="1"/>
    </row>
    <row r="12" spans="1:9" ht="20.25" customHeight="1">
      <c r="A12" s="1"/>
      <c r="B12" s="435" t="s">
        <v>95</v>
      </c>
      <c r="C12" s="435"/>
      <c r="D12" s="435"/>
      <c r="E12" s="435"/>
      <c r="F12" s="51"/>
      <c r="G12" s="51"/>
      <c r="H12" s="51"/>
      <c r="I12" s="51"/>
    </row>
    <row r="13" spans="1:9" s="37" customFormat="1" ht="15" customHeight="1">
      <c r="A13" s="24"/>
      <c r="B13" s="24"/>
      <c r="C13" s="52"/>
      <c r="D13" s="52"/>
      <c r="E13" s="52"/>
      <c r="F13" s="52"/>
      <c r="G13" s="52"/>
      <c r="H13" s="52"/>
      <c r="I13" s="52"/>
    </row>
    <row r="14" spans="1:3" ht="15" hidden="1">
      <c r="A14" s="11"/>
      <c r="B14" s="1"/>
      <c r="C14" s="1"/>
    </row>
    <row r="15" spans="1:2" ht="15" hidden="1">
      <c r="A15" s="1"/>
      <c r="B15" s="1"/>
    </row>
    <row r="16" spans="1:3" ht="15">
      <c r="A16" s="11" t="s">
        <v>21</v>
      </c>
      <c r="B16" s="1" t="s">
        <v>324</v>
      </c>
      <c r="C16" s="1"/>
    </row>
    <row r="17" spans="1:3" ht="15">
      <c r="A17" s="11"/>
      <c r="B17" s="1" t="s">
        <v>471</v>
      </c>
      <c r="C17" s="1"/>
    </row>
    <row r="18" ht="15">
      <c r="O18" s="30"/>
    </row>
    <row r="19" spans="1:15" ht="15" customHeight="1">
      <c r="A19" s="11"/>
      <c r="B19" s="11"/>
      <c r="C19" s="1"/>
      <c r="O19" s="15" t="s">
        <v>70</v>
      </c>
    </row>
    <row r="20" spans="1:15" s="3" customFormat="1" ht="96.75" customHeight="1">
      <c r="A20" s="2" t="s">
        <v>325</v>
      </c>
      <c r="B20" s="437" t="s">
        <v>461</v>
      </c>
      <c r="C20" s="426"/>
      <c r="D20" s="2" t="s">
        <v>69</v>
      </c>
      <c r="E20" s="2" t="s">
        <v>326</v>
      </c>
      <c r="F20" s="437" t="s">
        <v>327</v>
      </c>
      <c r="G20" s="426"/>
      <c r="H20" s="437" t="s">
        <v>328</v>
      </c>
      <c r="I20" s="426"/>
      <c r="J20" s="438" t="s">
        <v>329</v>
      </c>
      <c r="K20" s="438"/>
      <c r="L20" s="438" t="s">
        <v>132</v>
      </c>
      <c r="M20" s="438"/>
      <c r="N20" s="438" t="s">
        <v>330</v>
      </c>
      <c r="O20" s="438"/>
    </row>
    <row r="21" spans="1:15" s="20" customFormat="1" ht="15">
      <c r="A21" s="16">
        <v>1</v>
      </c>
      <c r="B21" s="427">
        <v>2</v>
      </c>
      <c r="C21" s="428"/>
      <c r="D21" s="16">
        <v>3</v>
      </c>
      <c r="E21" s="16">
        <v>4</v>
      </c>
      <c r="F21" s="442">
        <v>5</v>
      </c>
      <c r="G21" s="442"/>
      <c r="H21" s="442">
        <v>6</v>
      </c>
      <c r="I21" s="442"/>
      <c r="J21" s="442">
        <v>7</v>
      </c>
      <c r="K21" s="442"/>
      <c r="L21" s="441">
        <v>8</v>
      </c>
      <c r="M21" s="441"/>
      <c r="N21" s="441">
        <v>9</v>
      </c>
      <c r="O21" s="441"/>
    </row>
    <row r="22" spans="1:15" ht="15" customHeight="1" hidden="1">
      <c r="A22" s="81" t="s">
        <v>159</v>
      </c>
      <c r="B22" s="81"/>
      <c r="C22" s="39"/>
      <c r="D22" s="270" t="s">
        <v>35</v>
      </c>
      <c r="E22" s="271"/>
      <c r="F22" s="445"/>
      <c r="G22" s="446"/>
      <c r="H22" s="445"/>
      <c r="I22" s="446"/>
      <c r="J22" s="445"/>
      <c r="K22" s="446"/>
      <c r="L22" s="445"/>
      <c r="M22" s="446"/>
      <c r="N22" s="445"/>
      <c r="O22" s="446"/>
    </row>
    <row r="23" spans="1:15" ht="15" customHeight="1" hidden="1">
      <c r="A23" s="81" t="s">
        <v>160</v>
      </c>
      <c r="B23" s="2"/>
      <c r="C23" s="4"/>
      <c r="D23" s="270" t="s">
        <v>35</v>
      </c>
      <c r="E23" s="271"/>
      <c r="F23" s="437"/>
      <c r="G23" s="426"/>
      <c r="H23" s="437"/>
      <c r="I23" s="426"/>
      <c r="J23" s="437"/>
      <c r="K23" s="426"/>
      <c r="L23" s="437"/>
      <c r="M23" s="426"/>
      <c r="N23" s="437"/>
      <c r="O23" s="426"/>
    </row>
    <row r="24" spans="1:15" ht="15" customHeight="1" hidden="1">
      <c r="A24" s="81" t="s">
        <v>161</v>
      </c>
      <c r="B24" s="2"/>
      <c r="C24" s="4"/>
      <c r="D24" s="270" t="s">
        <v>35</v>
      </c>
      <c r="E24" s="271"/>
      <c r="F24" s="437"/>
      <c r="G24" s="426"/>
      <c r="H24" s="437"/>
      <c r="I24" s="426"/>
      <c r="J24" s="437"/>
      <c r="K24" s="426"/>
      <c r="L24" s="437"/>
      <c r="M24" s="426"/>
      <c r="N24" s="437"/>
      <c r="O24" s="426"/>
    </row>
    <row r="25" spans="1:15" ht="57" customHeight="1">
      <c r="A25" s="81" t="s">
        <v>157</v>
      </c>
      <c r="B25" s="443" t="s">
        <v>158</v>
      </c>
      <c r="C25" s="444"/>
      <c r="D25" s="272" t="s">
        <v>35</v>
      </c>
      <c r="E25" s="413" t="s">
        <v>504</v>
      </c>
      <c r="F25" s="425">
        <f>'2019-2(6.1;6.2;6.3,6.4)'!D14</f>
        <v>3278936.2800000003</v>
      </c>
      <c r="G25" s="426"/>
      <c r="H25" s="425">
        <f>'2019-2(6.1;6.2;6.3,6.4)'!H14</f>
        <v>8797290</v>
      </c>
      <c r="I25" s="426"/>
      <c r="J25" s="431">
        <f>'2019-2(6.1;6.2;6.3,6.4)'!L14</f>
        <v>10063860</v>
      </c>
      <c r="K25" s="432"/>
      <c r="L25" s="425">
        <f>'2019-2(6.1;6.2;6.3,6.4)'!D46</f>
        <v>10738137.62</v>
      </c>
      <c r="M25" s="426"/>
      <c r="N25" s="425">
        <f>'2019-2(6.1;6.2;6.3,6.4)'!H46</f>
        <v>11328737.189099997</v>
      </c>
      <c r="O25" s="426"/>
    </row>
    <row r="26" spans="1:15" ht="15">
      <c r="A26" s="2"/>
      <c r="B26" s="113" t="s">
        <v>331</v>
      </c>
      <c r="C26" s="110"/>
      <c r="D26" s="123"/>
      <c r="E26" s="112"/>
      <c r="F26" s="423">
        <f>F25</f>
        <v>3278936.2800000003</v>
      </c>
      <c r="G26" s="424"/>
      <c r="H26" s="423">
        <f>H25</f>
        <v>8797290</v>
      </c>
      <c r="I26" s="424"/>
      <c r="J26" s="423">
        <f>J25</f>
        <v>10063860</v>
      </c>
      <c r="K26" s="424"/>
      <c r="L26" s="423">
        <f>L25</f>
        <v>10738137.62</v>
      </c>
      <c r="M26" s="424"/>
      <c r="N26" s="423">
        <f>N25</f>
        <v>11328737.189099997</v>
      </c>
      <c r="O26" s="424"/>
    </row>
    <row r="27" spans="1:15" ht="15">
      <c r="A27" s="9"/>
      <c r="B27" s="9"/>
      <c r="C27" s="84"/>
      <c r="D27" s="36"/>
      <c r="E27" s="36"/>
      <c r="F27" s="85"/>
      <c r="G27" s="85"/>
      <c r="H27" s="85"/>
      <c r="I27" s="85"/>
      <c r="J27" s="85"/>
      <c r="K27" s="85"/>
      <c r="L27" s="85"/>
      <c r="M27" s="85"/>
      <c r="N27" s="85"/>
      <c r="O27" s="85"/>
    </row>
    <row r="28" spans="1:3" ht="15">
      <c r="A28" s="11" t="s">
        <v>23</v>
      </c>
      <c r="B28" s="1" t="s">
        <v>332</v>
      </c>
      <c r="C28" s="1"/>
    </row>
    <row r="29" spans="1:3" ht="15">
      <c r="A29" s="11"/>
      <c r="B29" s="1" t="s">
        <v>471</v>
      </c>
      <c r="C29" s="1"/>
    </row>
    <row r="30" ht="15">
      <c r="O30" s="15" t="s">
        <v>70</v>
      </c>
    </row>
    <row r="31" spans="1:15" s="3" customFormat="1" ht="102.75" customHeight="1">
      <c r="A31" s="2" t="s">
        <v>325</v>
      </c>
      <c r="B31" s="437" t="s">
        <v>461</v>
      </c>
      <c r="C31" s="426"/>
      <c r="D31" s="2" t="s">
        <v>69</v>
      </c>
      <c r="E31" s="2" t="s">
        <v>326</v>
      </c>
      <c r="F31" s="437" t="s">
        <v>327</v>
      </c>
      <c r="G31" s="426"/>
      <c r="H31" s="437" t="s">
        <v>328</v>
      </c>
      <c r="I31" s="426"/>
      <c r="J31" s="438" t="s">
        <v>329</v>
      </c>
      <c r="K31" s="438"/>
      <c r="L31" s="438" t="s">
        <v>132</v>
      </c>
      <c r="M31" s="438"/>
      <c r="N31" s="438" t="s">
        <v>330</v>
      </c>
      <c r="O31" s="438"/>
    </row>
    <row r="32" spans="1:15" s="20" customFormat="1" ht="15">
      <c r="A32" s="16">
        <v>1</v>
      </c>
      <c r="B32" s="427">
        <v>2</v>
      </c>
      <c r="C32" s="428"/>
      <c r="D32" s="16">
        <v>3</v>
      </c>
      <c r="E32" s="267">
        <v>4</v>
      </c>
      <c r="F32" s="427">
        <v>5</v>
      </c>
      <c r="G32" s="428"/>
      <c r="H32" s="427">
        <v>6</v>
      </c>
      <c r="I32" s="428"/>
      <c r="J32" s="427">
        <v>7</v>
      </c>
      <c r="K32" s="428"/>
      <c r="L32" s="429">
        <v>8</v>
      </c>
      <c r="M32" s="430"/>
      <c r="N32" s="429">
        <v>9</v>
      </c>
      <c r="O32" s="430"/>
    </row>
    <row r="33" spans="1:15" ht="46.5" customHeight="1">
      <c r="A33" s="81" t="s">
        <v>157</v>
      </c>
      <c r="B33" s="443" t="s">
        <v>158</v>
      </c>
      <c r="C33" s="444"/>
      <c r="D33" s="272" t="s">
        <v>35</v>
      </c>
      <c r="E33" s="413" t="s">
        <v>504</v>
      </c>
      <c r="F33" s="431">
        <f>'2019-2(6.1;6.2;6.3,6.4)'!E14</f>
        <v>304982</v>
      </c>
      <c r="G33" s="432"/>
      <c r="H33" s="431">
        <f>'2019-2(6.1;6.2;6.3,6.4)'!I14</f>
        <v>8111000</v>
      </c>
      <c r="I33" s="432"/>
      <c r="J33" s="431">
        <f>'2019-2(6.1;6.2;6.3,6.4)'!M14</f>
        <v>3787500</v>
      </c>
      <c r="K33" s="432"/>
      <c r="L33" s="431">
        <f>'2019-2(6.1;6.2;6.3,6.4)'!E46</f>
        <v>4041261.5</v>
      </c>
      <c r="M33" s="432"/>
      <c r="N33" s="431">
        <f>'2019-2(6.1;6.2;6.3,6.4)'!I46</f>
        <v>4263530.8825</v>
      </c>
      <c r="O33" s="432"/>
    </row>
    <row r="34" spans="1:15" ht="15" customHeight="1" hidden="1">
      <c r="A34" s="81"/>
      <c r="B34" s="81"/>
      <c r="C34" s="4"/>
      <c r="D34" s="124"/>
      <c r="E34" s="125"/>
      <c r="F34" s="437"/>
      <c r="G34" s="426"/>
      <c r="H34" s="437"/>
      <c r="I34" s="426"/>
      <c r="J34" s="437"/>
      <c r="K34" s="426"/>
      <c r="L34" s="437"/>
      <c r="M34" s="426"/>
      <c r="N34" s="437"/>
      <c r="O34" s="426"/>
    </row>
    <row r="35" spans="1:15" ht="15" customHeight="1" hidden="1">
      <c r="A35" s="2"/>
      <c r="B35" s="2"/>
      <c r="C35" s="4"/>
      <c r="D35" s="124"/>
      <c r="E35" s="125"/>
      <c r="F35" s="437"/>
      <c r="G35" s="426"/>
      <c r="H35" s="437"/>
      <c r="I35" s="426"/>
      <c r="J35" s="437"/>
      <c r="K35" s="426"/>
      <c r="L35" s="437"/>
      <c r="M35" s="426"/>
      <c r="N35" s="437"/>
      <c r="O35" s="426"/>
    </row>
    <row r="36" spans="1:15" ht="15" customHeight="1" hidden="1">
      <c r="A36" s="2"/>
      <c r="B36" s="2"/>
      <c r="C36" s="4"/>
      <c r="D36" s="124"/>
      <c r="E36" s="125"/>
      <c r="F36" s="437"/>
      <c r="G36" s="426"/>
      <c r="H36" s="437"/>
      <c r="I36" s="426"/>
      <c r="J36" s="437"/>
      <c r="K36" s="426"/>
      <c r="L36" s="437"/>
      <c r="M36" s="426"/>
      <c r="N36" s="437"/>
      <c r="O36" s="426"/>
    </row>
    <row r="37" spans="1:15" ht="15" customHeight="1" hidden="1">
      <c r="A37" s="2"/>
      <c r="B37" s="439" t="s">
        <v>76</v>
      </c>
      <c r="C37" s="440"/>
      <c r="D37" s="2"/>
      <c r="E37" s="111"/>
      <c r="F37" s="41"/>
      <c r="G37" s="111"/>
      <c r="H37" s="41"/>
      <c r="I37" s="111"/>
      <c r="J37" s="41"/>
      <c r="K37" s="111"/>
      <c r="L37" s="41"/>
      <c r="M37" s="111"/>
      <c r="N37" s="41"/>
      <c r="O37" s="111"/>
    </row>
    <row r="38" spans="1:15" ht="15">
      <c r="A38" s="2"/>
      <c r="B38" s="113" t="s">
        <v>2</v>
      </c>
      <c r="C38" s="110"/>
      <c r="D38" s="124"/>
      <c r="E38" s="125"/>
      <c r="F38" s="449">
        <f>F33</f>
        <v>304982</v>
      </c>
      <c r="G38" s="449"/>
      <c r="H38" s="449">
        <f>H33</f>
        <v>8111000</v>
      </c>
      <c r="I38" s="449"/>
      <c r="J38" s="423">
        <f>J33</f>
        <v>3787500</v>
      </c>
      <c r="K38" s="424"/>
      <c r="L38" s="423">
        <f>L33</f>
        <v>4041261.5</v>
      </c>
      <c r="M38" s="424"/>
      <c r="N38" s="423">
        <f>N33</f>
        <v>4263530.8825</v>
      </c>
      <c r="O38" s="424"/>
    </row>
    <row r="39" spans="1:10" ht="38.25" customHeight="1">
      <c r="A39" s="450" t="s">
        <v>118</v>
      </c>
      <c r="B39" s="450"/>
      <c r="C39" s="450"/>
      <c r="D39" s="70"/>
      <c r="E39" s="70"/>
      <c r="F39" s="28"/>
      <c r="G39" s="71"/>
      <c r="H39" s="434" t="s">
        <v>119</v>
      </c>
      <c r="I39" s="434"/>
      <c r="J39" s="86"/>
    </row>
    <row r="40" spans="1:10" ht="16.5">
      <c r="A40" s="72"/>
      <c r="B40" s="72"/>
      <c r="D40" s="448" t="s">
        <v>8</v>
      </c>
      <c r="E40" s="448"/>
      <c r="F40" s="76"/>
      <c r="H40" s="447" t="s">
        <v>34</v>
      </c>
      <c r="I40" s="447"/>
      <c r="J40" s="75"/>
    </row>
    <row r="41" spans="1:10" ht="49.5" customHeight="1">
      <c r="A41" s="450" t="s">
        <v>41</v>
      </c>
      <c r="B41" s="450"/>
      <c r="C41" s="450"/>
      <c r="D41" s="70"/>
      <c r="E41" s="70"/>
      <c r="F41" s="28"/>
      <c r="G41" s="71"/>
      <c r="H41" s="434" t="s">
        <v>42</v>
      </c>
      <c r="I41" s="434"/>
      <c r="J41" s="86"/>
    </row>
    <row r="42" spans="1:10" ht="15.75" customHeight="1">
      <c r="A42" s="72"/>
      <c r="B42" s="72"/>
      <c r="D42" s="448" t="s">
        <v>8</v>
      </c>
      <c r="E42" s="448"/>
      <c r="F42" s="76"/>
      <c r="H42" s="447" t="s">
        <v>34</v>
      </c>
      <c r="I42" s="447"/>
      <c r="J42" s="75"/>
    </row>
    <row r="43" ht="15" hidden="1"/>
    <row r="44" spans="1:10" ht="49.5" customHeight="1" hidden="1">
      <c r="A44" s="450" t="s">
        <v>472</v>
      </c>
      <c r="B44" s="450"/>
      <c r="C44" s="450"/>
      <c r="D44" s="70"/>
      <c r="E44" s="70"/>
      <c r="F44" s="28"/>
      <c r="G44" s="71"/>
      <c r="H44" s="434" t="s">
        <v>473</v>
      </c>
      <c r="I44" s="434"/>
      <c r="J44" s="86"/>
    </row>
    <row r="45" spans="1:10" ht="15.75" customHeight="1" hidden="1">
      <c r="A45" s="72"/>
      <c r="B45" s="72"/>
      <c r="D45" s="448" t="s">
        <v>8</v>
      </c>
      <c r="E45" s="448"/>
      <c r="F45" s="76"/>
      <c r="H45" s="447" t="s">
        <v>34</v>
      </c>
      <c r="I45" s="447"/>
      <c r="J45" s="75"/>
    </row>
  </sheetData>
  <sheetProtection/>
  <mergeCells count="94">
    <mergeCell ref="L20:M20"/>
    <mergeCell ref="N20:O20"/>
    <mergeCell ref="B31:C31"/>
    <mergeCell ref="F31:G31"/>
    <mergeCell ref="H31:I31"/>
    <mergeCell ref="J31:K31"/>
    <mergeCell ref="L31:M31"/>
    <mergeCell ref="N31:O31"/>
    <mergeCell ref="F26:G26"/>
    <mergeCell ref="H26:I26"/>
    <mergeCell ref="D45:E45"/>
    <mergeCell ref="H45:I45"/>
    <mergeCell ref="H24:I24"/>
    <mergeCell ref="B32:C32"/>
    <mergeCell ref="B33:C33"/>
    <mergeCell ref="H32:I32"/>
    <mergeCell ref="D42:E42"/>
    <mergeCell ref="F34:G34"/>
    <mergeCell ref="A44:C44"/>
    <mergeCell ref="H44:I44"/>
    <mergeCell ref="J26:K26"/>
    <mergeCell ref="L26:M26"/>
    <mergeCell ref="N26:O26"/>
    <mergeCell ref="F24:G24"/>
    <mergeCell ref="H25:I25"/>
    <mergeCell ref="J24:K24"/>
    <mergeCell ref="L24:M24"/>
    <mergeCell ref="N35:O35"/>
    <mergeCell ref="F36:G36"/>
    <mergeCell ref="H36:I36"/>
    <mergeCell ref="J36:K36"/>
    <mergeCell ref="L36:M36"/>
    <mergeCell ref="N36:O36"/>
    <mergeCell ref="F35:G35"/>
    <mergeCell ref="H35:I35"/>
    <mergeCell ref="J35:K35"/>
    <mergeCell ref="L35:M35"/>
    <mergeCell ref="H34:I34"/>
    <mergeCell ref="J34:K34"/>
    <mergeCell ref="L34:M34"/>
    <mergeCell ref="N34:O34"/>
    <mergeCell ref="F33:G33"/>
    <mergeCell ref="H33:I33"/>
    <mergeCell ref="J33:K33"/>
    <mergeCell ref="L33:M33"/>
    <mergeCell ref="H22:I22"/>
    <mergeCell ref="J22:K22"/>
    <mergeCell ref="F23:G23"/>
    <mergeCell ref="H23:I23"/>
    <mergeCell ref="N32:O32"/>
    <mergeCell ref="N23:O23"/>
    <mergeCell ref="N22:O22"/>
    <mergeCell ref="L22:M22"/>
    <mergeCell ref="L23:M23"/>
    <mergeCell ref="N24:O24"/>
    <mergeCell ref="H42:I42"/>
    <mergeCell ref="D40:E40"/>
    <mergeCell ref="H40:I40"/>
    <mergeCell ref="F38:G38"/>
    <mergeCell ref="H38:I38"/>
    <mergeCell ref="A41:C41"/>
    <mergeCell ref="H41:I41"/>
    <mergeCell ref="H39:I39"/>
    <mergeCell ref="A39:C39"/>
    <mergeCell ref="B37:C37"/>
    <mergeCell ref="N21:O21"/>
    <mergeCell ref="F21:G21"/>
    <mergeCell ref="H21:I21"/>
    <mergeCell ref="J21:K21"/>
    <mergeCell ref="L21:M21"/>
    <mergeCell ref="B25:C25"/>
    <mergeCell ref="J25:K25"/>
    <mergeCell ref="J23:K23"/>
    <mergeCell ref="F22:G22"/>
    <mergeCell ref="A5:J5"/>
    <mergeCell ref="B7:F7"/>
    <mergeCell ref="B12:E12"/>
    <mergeCell ref="B8:F8"/>
    <mergeCell ref="G8:N8"/>
    <mergeCell ref="B21:C21"/>
    <mergeCell ref="B20:C20"/>
    <mergeCell ref="F20:G20"/>
    <mergeCell ref="H20:I20"/>
    <mergeCell ref="J20:K20"/>
    <mergeCell ref="J38:K38"/>
    <mergeCell ref="L38:M38"/>
    <mergeCell ref="N25:O25"/>
    <mergeCell ref="F25:G25"/>
    <mergeCell ref="F32:G32"/>
    <mergeCell ref="J32:K32"/>
    <mergeCell ref="L32:M32"/>
    <mergeCell ref="N38:O38"/>
    <mergeCell ref="N33:O33"/>
    <mergeCell ref="L25:M25"/>
  </mergeCells>
  <printOptions horizontalCentered="1"/>
  <pageMargins left="0" right="0" top="0.2755905511811024" bottom="0" header="0" footer="0"/>
  <pageSetup horizontalDpi="600" verticalDpi="600" orientation="landscape" paperSize="9" scale="68" r:id="rId1"/>
</worksheet>
</file>

<file path=xl/worksheets/sheet10.xml><?xml version="1.0" encoding="utf-8"?>
<worksheet xmlns="http://schemas.openxmlformats.org/spreadsheetml/2006/main" xmlns:r="http://schemas.openxmlformats.org/officeDocument/2006/relationships">
  <sheetPr>
    <tabColor theme="3" tint="-0.24997000396251678"/>
  </sheetPr>
  <dimension ref="A1:M54"/>
  <sheetViews>
    <sheetView view="pageBreakPreview" zoomScale="85" zoomScaleSheetLayoutView="85" zoomScalePageLayoutView="0" workbookViewId="0" topLeftCell="A45">
      <selection activeCell="E56" sqref="E56"/>
    </sheetView>
  </sheetViews>
  <sheetFormatPr defaultColWidth="9.00390625" defaultRowHeight="15.75"/>
  <cols>
    <col min="1" max="1" width="9.00390625" style="218" customWidth="1"/>
    <col min="2" max="2" width="3.125" style="218" customWidth="1"/>
    <col min="3" max="3" width="50.375" style="218" customWidth="1"/>
    <col min="4" max="4" width="10.625" style="218" customWidth="1"/>
    <col min="5" max="5" width="12.00390625" style="218" customWidth="1"/>
    <col min="6" max="6" width="11.25390625" style="218" customWidth="1"/>
    <col min="7" max="7" width="11.625" style="218" customWidth="1"/>
    <col min="8" max="8" width="12.50390625" style="218" customWidth="1"/>
    <col min="9" max="9" width="11.25390625" style="218" customWidth="1"/>
    <col min="10" max="10" width="12.75390625" style="218" customWidth="1"/>
    <col min="11" max="11" width="9.875" style="218" customWidth="1"/>
    <col min="12" max="12" width="10.00390625" style="218" customWidth="1"/>
    <col min="13" max="13" width="10.50390625" style="218" customWidth="1"/>
    <col min="14" max="16384" width="9.00390625" style="218" customWidth="1"/>
  </cols>
  <sheetData>
    <row r="1" spans="1:11" s="15" customFormat="1" ht="19.5" customHeight="1">
      <c r="A1" s="132" t="s">
        <v>62</v>
      </c>
      <c r="B1" s="549" t="s">
        <v>517</v>
      </c>
      <c r="C1" s="549"/>
      <c r="D1" s="131"/>
      <c r="E1" s="131"/>
      <c r="F1" s="131"/>
      <c r="G1" s="131"/>
      <c r="H1" s="131"/>
      <c r="I1" s="131"/>
      <c r="J1" s="131"/>
      <c r="K1" s="131"/>
    </row>
    <row r="2" spans="2:9" s="15" customFormat="1" ht="12" customHeight="1">
      <c r="B2" s="11"/>
      <c r="C2" s="1"/>
      <c r="D2" s="1"/>
      <c r="E2" s="1"/>
      <c r="F2" s="1"/>
      <c r="G2" s="1"/>
      <c r="H2" s="1"/>
      <c r="I2" s="1"/>
    </row>
    <row r="3" spans="1:8" s="15" customFormat="1" ht="15">
      <c r="A3" s="11" t="s">
        <v>334</v>
      </c>
      <c r="B3" s="1" t="s">
        <v>516</v>
      </c>
      <c r="D3" s="1"/>
      <c r="E3" s="1"/>
      <c r="F3" s="1"/>
      <c r="G3" s="1"/>
      <c r="H3" s="1"/>
    </row>
    <row r="4" s="219" customFormat="1" ht="15.75" customHeight="1">
      <c r="K4" s="222" t="s">
        <v>70</v>
      </c>
    </row>
    <row r="5" spans="1:11" s="15" customFormat="1" ht="39.75" customHeight="1">
      <c r="A5" s="552" t="s">
        <v>421</v>
      </c>
      <c r="B5" s="452"/>
      <c r="C5" s="469" t="s">
        <v>84</v>
      </c>
      <c r="D5" s="469" t="s">
        <v>11</v>
      </c>
      <c r="E5" s="469" t="s">
        <v>79</v>
      </c>
      <c r="F5" s="469" t="s">
        <v>422</v>
      </c>
      <c r="G5" s="469" t="s">
        <v>423</v>
      </c>
      <c r="H5" s="469" t="s">
        <v>425</v>
      </c>
      <c r="I5" s="437" t="s">
        <v>101</v>
      </c>
      <c r="J5" s="454"/>
      <c r="K5" s="469" t="s">
        <v>424</v>
      </c>
    </row>
    <row r="6" spans="1:11" s="15" customFormat="1" ht="66.75" customHeight="1">
      <c r="A6" s="551"/>
      <c r="B6" s="453"/>
      <c r="C6" s="474"/>
      <c r="D6" s="474"/>
      <c r="E6" s="474"/>
      <c r="F6" s="474"/>
      <c r="G6" s="474"/>
      <c r="H6" s="474" t="s">
        <v>80</v>
      </c>
      <c r="I6" s="10" t="s">
        <v>12</v>
      </c>
      <c r="J6" s="10" t="s">
        <v>13</v>
      </c>
      <c r="K6" s="474"/>
    </row>
    <row r="7" spans="1:11" s="219" customFormat="1" ht="15">
      <c r="A7" s="562">
        <v>1</v>
      </c>
      <c r="B7" s="563"/>
      <c r="C7" s="226">
        <v>2</v>
      </c>
      <c r="D7" s="225">
        <v>3</v>
      </c>
      <c r="E7" s="226">
        <v>4</v>
      </c>
      <c r="F7" s="225">
        <v>5</v>
      </c>
      <c r="G7" s="226">
        <v>6</v>
      </c>
      <c r="H7" s="225">
        <v>7</v>
      </c>
      <c r="I7" s="226">
        <v>8</v>
      </c>
      <c r="J7" s="225">
        <v>9</v>
      </c>
      <c r="K7" s="226">
        <v>10</v>
      </c>
    </row>
    <row r="8" spans="1:11" s="219" customFormat="1" ht="15" hidden="1">
      <c r="A8" s="227"/>
      <c r="B8" s="226"/>
      <c r="C8" s="228" t="s">
        <v>74</v>
      </c>
      <c r="D8" s="226"/>
      <c r="E8" s="226"/>
      <c r="F8" s="226"/>
      <c r="G8" s="226"/>
      <c r="H8" s="226"/>
      <c r="I8" s="226"/>
      <c r="J8" s="226"/>
      <c r="K8" s="226"/>
    </row>
    <row r="9" spans="1:11" s="219" customFormat="1" ht="26.25" hidden="1">
      <c r="A9" s="227"/>
      <c r="B9" s="229" t="s">
        <v>38</v>
      </c>
      <c r="C9" s="230" t="s">
        <v>91</v>
      </c>
      <c r="D9" s="103"/>
      <c r="E9" s="231"/>
      <c r="F9" s="104"/>
      <c r="G9" s="104"/>
      <c r="H9" s="104"/>
      <c r="I9" s="104"/>
      <c r="J9" s="104"/>
      <c r="K9" s="103">
        <f>E9+G9</f>
        <v>0</v>
      </c>
    </row>
    <row r="10" spans="1:11" s="219" customFormat="1" ht="15" hidden="1">
      <c r="A10" s="227"/>
      <c r="B10" s="226">
        <v>2120</v>
      </c>
      <c r="C10" s="230" t="s">
        <v>92</v>
      </c>
      <c r="D10" s="103"/>
      <c r="E10" s="231"/>
      <c r="F10" s="104"/>
      <c r="G10" s="104"/>
      <c r="H10" s="104"/>
      <c r="I10" s="104"/>
      <c r="J10" s="104"/>
      <c r="K10" s="103">
        <f>E10+G10</f>
        <v>0</v>
      </c>
    </row>
    <row r="11" spans="1:11" s="219" customFormat="1" ht="15" hidden="1">
      <c r="A11" s="227"/>
      <c r="B11" s="226">
        <v>2210</v>
      </c>
      <c r="C11" s="230" t="s">
        <v>93</v>
      </c>
      <c r="D11" s="103"/>
      <c r="E11" s="231"/>
      <c r="F11" s="104"/>
      <c r="G11" s="103"/>
      <c r="H11" s="232">
        <f aca="true" t="shared" si="0" ref="H11:H17">G11-F11</f>
        <v>0</v>
      </c>
      <c r="I11" s="232">
        <f>H11</f>
        <v>0</v>
      </c>
      <c r="J11" s="104"/>
      <c r="K11" s="103">
        <f>E11+G11</f>
        <v>0</v>
      </c>
    </row>
    <row r="12" spans="1:11" s="219" customFormat="1" ht="15" hidden="1">
      <c r="A12" s="227"/>
      <c r="B12" s="226">
        <v>2220</v>
      </c>
      <c r="C12" s="230" t="s">
        <v>36</v>
      </c>
      <c r="D12" s="232"/>
      <c r="E12" s="231"/>
      <c r="F12" s="233"/>
      <c r="G12" s="232"/>
      <c r="H12" s="232">
        <f t="shared" si="0"/>
        <v>0</v>
      </c>
      <c r="I12" s="232">
        <f>H12</f>
        <v>0</v>
      </c>
      <c r="J12" s="233"/>
      <c r="K12" s="232"/>
    </row>
    <row r="13" spans="1:11" s="219" customFormat="1" ht="15" hidden="1">
      <c r="A13" s="227"/>
      <c r="B13" s="226">
        <v>2230</v>
      </c>
      <c r="C13" s="230" t="s">
        <v>37</v>
      </c>
      <c r="D13" s="232"/>
      <c r="E13" s="231"/>
      <c r="F13" s="233"/>
      <c r="G13" s="232"/>
      <c r="H13" s="232">
        <f t="shared" si="0"/>
        <v>0</v>
      </c>
      <c r="I13" s="232">
        <f>H13</f>
        <v>0</v>
      </c>
      <c r="J13" s="233"/>
      <c r="K13" s="232"/>
    </row>
    <row r="14" spans="1:11" s="219" customFormat="1" ht="27">
      <c r="A14" s="555"/>
      <c r="B14" s="556"/>
      <c r="C14" s="185" t="s">
        <v>158</v>
      </c>
      <c r="D14" s="232"/>
      <c r="E14" s="231"/>
      <c r="F14" s="233"/>
      <c r="G14" s="232"/>
      <c r="H14" s="232">
        <f t="shared" si="0"/>
        <v>0</v>
      </c>
      <c r="I14" s="232"/>
      <c r="J14" s="233"/>
      <c r="K14" s="103"/>
    </row>
    <row r="15" spans="1:11" s="219" customFormat="1" ht="15">
      <c r="A15" s="532">
        <v>3110</v>
      </c>
      <c r="B15" s="533"/>
      <c r="C15" s="230" t="s">
        <v>94</v>
      </c>
      <c r="D15" s="231"/>
      <c r="E15" s="231"/>
      <c r="F15" s="232"/>
      <c r="G15" s="232"/>
      <c r="H15" s="232">
        <f t="shared" si="0"/>
        <v>0</v>
      </c>
      <c r="I15" s="233"/>
      <c r="J15" s="233"/>
      <c r="K15" s="103">
        <f>E15+G15</f>
        <v>0</v>
      </c>
    </row>
    <row r="16" spans="1:11" s="219" customFormat="1" ht="15">
      <c r="A16" s="562">
        <v>3122</v>
      </c>
      <c r="B16" s="563"/>
      <c r="C16" s="230" t="s">
        <v>284</v>
      </c>
      <c r="D16" s="231"/>
      <c r="E16" s="231"/>
      <c r="F16" s="233"/>
      <c r="G16" s="233"/>
      <c r="H16" s="232">
        <f t="shared" si="0"/>
        <v>0</v>
      </c>
      <c r="I16" s="233"/>
      <c r="J16" s="233"/>
      <c r="K16" s="103">
        <f>E16+G16</f>
        <v>0</v>
      </c>
    </row>
    <row r="17" spans="1:11" s="219" customFormat="1" ht="15">
      <c r="A17" s="562">
        <v>3132</v>
      </c>
      <c r="B17" s="563"/>
      <c r="C17" s="230" t="s">
        <v>256</v>
      </c>
      <c r="D17" s="231"/>
      <c r="E17" s="231"/>
      <c r="F17" s="104"/>
      <c r="G17" s="104"/>
      <c r="H17" s="232">
        <f t="shared" si="0"/>
        <v>0</v>
      </c>
      <c r="I17" s="104"/>
      <c r="J17" s="104"/>
      <c r="K17" s="103">
        <f>E17+G17</f>
        <v>0</v>
      </c>
    </row>
    <row r="18" spans="1:11" s="219" customFormat="1" ht="15">
      <c r="A18" s="562">
        <v>3210</v>
      </c>
      <c r="B18" s="563"/>
      <c r="C18" s="307" t="s">
        <v>156</v>
      </c>
      <c r="D18" s="79">
        <v>319000</v>
      </c>
      <c r="E18" s="79">
        <f>304982</f>
        <v>304982</v>
      </c>
      <c r="F18" s="79">
        <f>SUM(F14:F16)</f>
        <v>0</v>
      </c>
      <c r="G18" s="79">
        <f>SUM(G14:G16)</f>
        <v>0</v>
      </c>
      <c r="H18" s="79">
        <f>SUM(H14:H16)</f>
        <v>0</v>
      </c>
      <c r="I18" s="79">
        <f>SUM(I14:I16)</f>
        <v>0</v>
      </c>
      <c r="J18" s="79">
        <f>SUM(J14:J16)</f>
        <v>0</v>
      </c>
      <c r="K18" s="79">
        <f>E18+G18</f>
        <v>304982</v>
      </c>
    </row>
    <row r="19" spans="1:11" s="219" customFormat="1" ht="15">
      <c r="A19" s="564"/>
      <c r="B19" s="565"/>
      <c r="C19" s="235" t="s">
        <v>194</v>
      </c>
      <c r="D19" s="79">
        <f>D18</f>
        <v>319000</v>
      </c>
      <c r="E19" s="79">
        <f aca="true" t="shared" si="1" ref="E19:K19">E18</f>
        <v>304982</v>
      </c>
      <c r="F19" s="79">
        <f t="shared" si="1"/>
        <v>0</v>
      </c>
      <c r="G19" s="79">
        <f t="shared" si="1"/>
        <v>0</v>
      </c>
      <c r="H19" s="79">
        <f t="shared" si="1"/>
        <v>0</v>
      </c>
      <c r="I19" s="79">
        <f t="shared" si="1"/>
        <v>0</v>
      </c>
      <c r="J19" s="79">
        <f t="shared" si="1"/>
        <v>0</v>
      </c>
      <c r="K19" s="79">
        <f t="shared" si="1"/>
        <v>304982</v>
      </c>
    </row>
    <row r="21" spans="1:8" s="15" customFormat="1" ht="15">
      <c r="A21" s="11" t="s">
        <v>335</v>
      </c>
      <c r="B21" s="1" t="s">
        <v>515</v>
      </c>
      <c r="D21" s="1"/>
      <c r="E21" s="1"/>
      <c r="F21" s="1"/>
      <c r="G21" s="1"/>
      <c r="H21" s="1"/>
    </row>
    <row r="22" s="219" customFormat="1" ht="12.75" customHeight="1">
      <c r="M22" s="222" t="s">
        <v>70</v>
      </c>
    </row>
    <row r="23" spans="1:13" s="219" customFormat="1" ht="15" hidden="1">
      <c r="A23" s="227"/>
      <c r="B23" s="226"/>
      <c r="C23" s="228" t="s">
        <v>74</v>
      </c>
      <c r="D23" s="237"/>
      <c r="E23" s="237"/>
      <c r="F23" s="237"/>
      <c r="G23" s="237"/>
      <c r="H23" s="237"/>
      <c r="I23" s="237"/>
      <c r="J23" s="237"/>
      <c r="K23" s="237"/>
      <c r="L23" s="237"/>
      <c r="M23" s="237"/>
    </row>
    <row r="24" spans="1:13" s="219" customFormat="1" ht="26.25" hidden="1">
      <c r="A24" s="227"/>
      <c r="B24" s="229" t="s">
        <v>38</v>
      </c>
      <c r="C24" s="230" t="s">
        <v>91</v>
      </c>
      <c r="D24" s="231"/>
      <c r="E24" s="79"/>
      <c r="F24" s="79"/>
      <c r="G24" s="79"/>
      <c r="H24" s="103">
        <f>D24-E24</f>
        <v>0</v>
      </c>
      <c r="I24" s="231"/>
      <c r="J24" s="79"/>
      <c r="K24" s="103"/>
      <c r="L24" s="79"/>
      <c r="M24" s="103">
        <f>I24-J24</f>
        <v>0</v>
      </c>
    </row>
    <row r="25" spans="1:13" s="219" customFormat="1" ht="15" hidden="1">
      <c r="A25" s="227"/>
      <c r="B25" s="226">
        <v>2120</v>
      </c>
      <c r="C25" s="230" t="s">
        <v>92</v>
      </c>
      <c r="D25" s="231"/>
      <c r="E25" s="79"/>
      <c r="F25" s="79"/>
      <c r="G25" s="79"/>
      <c r="H25" s="103">
        <f>D25-E25</f>
        <v>0</v>
      </c>
      <c r="I25" s="231"/>
      <c r="J25" s="79"/>
      <c r="K25" s="103"/>
      <c r="L25" s="79"/>
      <c r="M25" s="103">
        <f>I25-J25</f>
        <v>0</v>
      </c>
    </row>
    <row r="26" spans="1:13" s="219" customFormat="1" ht="15" hidden="1">
      <c r="A26" s="227"/>
      <c r="B26" s="226">
        <v>2210</v>
      </c>
      <c r="C26" s="230" t="s">
        <v>93</v>
      </c>
      <c r="D26" s="231"/>
      <c r="E26" s="103"/>
      <c r="F26" s="232">
        <f>E26</f>
        <v>0</v>
      </c>
      <c r="G26" s="79"/>
      <c r="H26" s="103">
        <f>D26-E26</f>
        <v>0</v>
      </c>
      <c r="I26" s="231"/>
      <c r="J26" s="232"/>
      <c r="K26" s="103">
        <f>J26</f>
        <v>0</v>
      </c>
      <c r="L26" s="79"/>
      <c r="M26" s="103">
        <f>I26-J26</f>
        <v>0</v>
      </c>
    </row>
    <row r="27" spans="1:13" s="219" customFormat="1" ht="15" hidden="1">
      <c r="A27" s="227"/>
      <c r="B27" s="226">
        <v>2220</v>
      </c>
      <c r="C27" s="230" t="s">
        <v>36</v>
      </c>
      <c r="D27" s="231"/>
      <c r="E27" s="232"/>
      <c r="F27" s="232">
        <f>E27</f>
        <v>0</v>
      </c>
      <c r="G27" s="232"/>
      <c r="H27" s="232"/>
      <c r="I27" s="231"/>
      <c r="J27" s="232"/>
      <c r="K27" s="103">
        <f>J27</f>
        <v>0</v>
      </c>
      <c r="L27" s="232"/>
      <c r="M27" s="232"/>
    </row>
    <row r="28" spans="1:13" s="219" customFormat="1" ht="15" hidden="1">
      <c r="A28" s="227"/>
      <c r="B28" s="226">
        <v>2230</v>
      </c>
      <c r="C28" s="230" t="s">
        <v>37</v>
      </c>
      <c r="D28" s="231"/>
      <c r="E28" s="232"/>
      <c r="F28" s="232">
        <f>E28</f>
        <v>0</v>
      </c>
      <c r="G28" s="232"/>
      <c r="H28" s="232"/>
      <c r="I28" s="231"/>
      <c r="J28" s="232"/>
      <c r="K28" s="103">
        <f>J28</f>
        <v>0</v>
      </c>
      <c r="L28" s="232"/>
      <c r="M28" s="232"/>
    </row>
    <row r="29" spans="1:13" s="15" customFormat="1" ht="15.75" customHeight="1">
      <c r="A29" s="552" t="s">
        <v>421</v>
      </c>
      <c r="B29" s="452"/>
      <c r="C29" s="469" t="s">
        <v>84</v>
      </c>
      <c r="D29" s="469" t="s">
        <v>100</v>
      </c>
      <c r="E29" s="469"/>
      <c r="F29" s="469"/>
      <c r="G29" s="469"/>
      <c r="H29" s="469"/>
      <c r="I29" s="469" t="s">
        <v>110</v>
      </c>
      <c r="J29" s="469"/>
      <c r="K29" s="469"/>
      <c r="L29" s="469"/>
      <c r="M29" s="469"/>
    </row>
    <row r="30" spans="1:13" s="15" customFormat="1" ht="57.75" customHeight="1">
      <c r="A30" s="550"/>
      <c r="B30" s="559"/>
      <c r="C30" s="550"/>
      <c r="D30" s="438" t="s">
        <v>81</v>
      </c>
      <c r="E30" s="438" t="s">
        <v>426</v>
      </c>
      <c r="F30" s="438" t="s">
        <v>82</v>
      </c>
      <c r="G30" s="438"/>
      <c r="H30" s="469" t="s">
        <v>428</v>
      </c>
      <c r="I30" s="438" t="s">
        <v>83</v>
      </c>
      <c r="J30" s="469" t="s">
        <v>427</v>
      </c>
      <c r="K30" s="438" t="s">
        <v>113</v>
      </c>
      <c r="L30" s="438"/>
      <c r="M30" s="469" t="s">
        <v>429</v>
      </c>
    </row>
    <row r="31" spans="1:13" s="15" customFormat="1" ht="48.75" customHeight="1">
      <c r="A31" s="551"/>
      <c r="B31" s="453"/>
      <c r="C31" s="551"/>
      <c r="D31" s="438"/>
      <c r="E31" s="438"/>
      <c r="F31" s="2" t="s">
        <v>12</v>
      </c>
      <c r="G31" s="2" t="s">
        <v>13</v>
      </c>
      <c r="H31" s="474"/>
      <c r="I31" s="438"/>
      <c r="J31" s="474"/>
      <c r="K31" s="2" t="s">
        <v>12</v>
      </c>
      <c r="L31" s="2" t="s">
        <v>13</v>
      </c>
      <c r="M31" s="474"/>
    </row>
    <row r="32" spans="1:13" s="3" customFormat="1" ht="12.75">
      <c r="A32" s="553"/>
      <c r="B32" s="554"/>
      <c r="C32" s="41">
        <v>3</v>
      </c>
      <c r="D32" s="67">
        <v>4</v>
      </c>
      <c r="E32" s="2">
        <v>5</v>
      </c>
      <c r="F32" s="41">
        <v>6</v>
      </c>
      <c r="G32" s="67">
        <v>7</v>
      </c>
      <c r="H32" s="2">
        <v>8</v>
      </c>
      <c r="I32" s="41">
        <v>9</v>
      </c>
      <c r="J32" s="67">
        <v>10</v>
      </c>
      <c r="K32" s="2">
        <v>11</v>
      </c>
      <c r="L32" s="41">
        <v>12</v>
      </c>
      <c r="M32" s="67">
        <v>13</v>
      </c>
    </row>
    <row r="33" spans="1:13" s="219" customFormat="1" ht="28.5" customHeight="1">
      <c r="A33" s="555"/>
      <c r="B33" s="556"/>
      <c r="C33" s="185" t="s">
        <v>158</v>
      </c>
      <c r="D33" s="232"/>
      <c r="E33" s="231"/>
      <c r="F33" s="233"/>
      <c r="G33" s="232"/>
      <c r="H33" s="232"/>
      <c r="I33" s="232"/>
      <c r="J33" s="233"/>
      <c r="K33" s="103"/>
      <c r="L33" s="227"/>
      <c r="M33" s="227"/>
    </row>
    <row r="34" spans="1:13" s="219" customFormat="1" ht="19.5" customHeight="1">
      <c r="A34" s="532">
        <v>3110</v>
      </c>
      <c r="B34" s="533"/>
      <c r="C34" s="230" t="s">
        <v>94</v>
      </c>
      <c r="D34" s="232">
        <f>'2019-2(6.1;6.2;6.3,6.4)'!I10</f>
        <v>7631000</v>
      </c>
      <c r="E34" s="231"/>
      <c r="F34" s="233"/>
      <c r="G34" s="232"/>
      <c r="H34" s="232">
        <f>D34</f>
        <v>7631000</v>
      </c>
      <c r="I34" s="232">
        <f>'2019-2(6.1;6.2;6.3,6.4)'!M10</f>
        <v>3527500</v>
      </c>
      <c r="J34" s="233"/>
      <c r="K34" s="103"/>
      <c r="L34" s="227"/>
      <c r="M34" s="238">
        <f>I34</f>
        <v>3527500</v>
      </c>
    </row>
    <row r="35" spans="1:13" s="219" customFormat="1" ht="19.5" customHeight="1">
      <c r="A35" s="437">
        <v>3122</v>
      </c>
      <c r="B35" s="426"/>
      <c r="C35" s="4" t="s">
        <v>284</v>
      </c>
      <c r="D35" s="232">
        <f>'2019-2(6.1;6.2;6.3,6.4)'!I11</f>
        <v>0</v>
      </c>
      <c r="E35" s="231"/>
      <c r="F35" s="233"/>
      <c r="G35" s="232"/>
      <c r="H35" s="232">
        <f aca="true" t="shared" si="2" ref="H35:H42">D35</f>
        <v>0</v>
      </c>
      <c r="I35" s="232">
        <f>'2019-2(6.1;6.2;6.3,6.4)'!M11</f>
        <v>0</v>
      </c>
      <c r="J35" s="233"/>
      <c r="K35" s="103"/>
      <c r="L35" s="227"/>
      <c r="M35" s="238">
        <f>I35</f>
        <v>0</v>
      </c>
    </row>
    <row r="36" spans="1:13" s="219" customFormat="1" ht="19.5" customHeight="1">
      <c r="A36" s="532">
        <v>3132</v>
      </c>
      <c r="B36" s="533"/>
      <c r="C36" s="230" t="s">
        <v>256</v>
      </c>
      <c r="D36" s="232">
        <f>'2019-2(6.1;6.2;6.3,6.4)'!I12</f>
        <v>480000</v>
      </c>
      <c r="E36" s="231"/>
      <c r="F36" s="233"/>
      <c r="G36" s="232"/>
      <c r="H36" s="232">
        <f t="shared" si="2"/>
        <v>480000</v>
      </c>
      <c r="I36" s="232">
        <f>'2019-2(6.1;6.2;6.3,6.4)'!M12</f>
        <v>260000</v>
      </c>
      <c r="J36" s="233"/>
      <c r="K36" s="103"/>
      <c r="L36" s="227"/>
      <c r="M36" s="238">
        <f>I36</f>
        <v>260000</v>
      </c>
    </row>
    <row r="37" spans="1:13" s="219" customFormat="1" ht="15">
      <c r="A37" s="532">
        <v>3210</v>
      </c>
      <c r="B37" s="533"/>
      <c r="C37" s="230" t="s">
        <v>156</v>
      </c>
      <c r="D37" s="232">
        <f>'2019-2(6.1;6.2;6.3,6.4)'!I13</f>
        <v>0</v>
      </c>
      <c r="E37" s="231"/>
      <c r="F37" s="233"/>
      <c r="G37" s="233"/>
      <c r="H37" s="232">
        <f t="shared" si="2"/>
        <v>0</v>
      </c>
      <c r="I37" s="232"/>
      <c r="J37" s="233"/>
      <c r="K37" s="103"/>
      <c r="L37" s="227"/>
      <c r="M37" s="238">
        <f>I37-K37</f>
        <v>0</v>
      </c>
    </row>
    <row r="38" spans="1:13" s="219" customFormat="1" ht="15" hidden="1">
      <c r="A38" s="227"/>
      <c r="B38" s="234"/>
      <c r="C38" s="235" t="s">
        <v>2</v>
      </c>
      <c r="D38" s="79">
        <f>SUM(D37:D37)</f>
        <v>0</v>
      </c>
      <c r="E38" s="79">
        <f>SUM(E37:E37)</f>
        <v>0</v>
      </c>
      <c r="F38" s="79">
        <f>SUM(F37:F37)</f>
        <v>0</v>
      </c>
      <c r="G38" s="79">
        <f>SUM(G37:G37)</f>
        <v>0</v>
      </c>
      <c r="H38" s="232">
        <f t="shared" si="2"/>
        <v>0</v>
      </c>
      <c r="I38" s="79">
        <f>SUM(I37:I37)</f>
        <v>0</v>
      </c>
      <c r="J38" s="79">
        <f>SUM(J37:J37)</f>
        <v>0</v>
      </c>
      <c r="K38" s="79">
        <f>SUM(K37:K37)</f>
        <v>0</v>
      </c>
      <c r="L38" s="79">
        <f>SUM(L37:L37)</f>
        <v>0</v>
      </c>
      <c r="M38" s="79">
        <f>SUM(M37:M37)</f>
        <v>0</v>
      </c>
    </row>
    <row r="39" spans="1:13" s="219" customFormat="1" ht="28.5" customHeight="1" hidden="1">
      <c r="A39" s="227">
        <v>318603</v>
      </c>
      <c r="B39" s="226"/>
      <c r="C39" s="240" t="s">
        <v>195</v>
      </c>
      <c r="D39" s="232"/>
      <c r="E39" s="231"/>
      <c r="F39" s="233"/>
      <c r="G39" s="232"/>
      <c r="H39" s="232">
        <f t="shared" si="2"/>
        <v>0</v>
      </c>
      <c r="I39" s="232"/>
      <c r="J39" s="233"/>
      <c r="K39" s="103"/>
      <c r="L39" s="227"/>
      <c r="M39" s="227"/>
    </row>
    <row r="40" spans="1:13" s="219" customFormat="1" ht="15" hidden="1">
      <c r="A40" s="227"/>
      <c r="B40" s="226">
        <v>3110</v>
      </c>
      <c r="C40" s="230" t="s">
        <v>94</v>
      </c>
      <c r="D40" s="241">
        <f>'[1]2018-2(6.1;6.2;6.3,6.4)'!I31</f>
        <v>0</v>
      </c>
      <c r="E40" s="231"/>
      <c r="F40" s="233"/>
      <c r="G40" s="233"/>
      <c r="H40" s="232">
        <f t="shared" si="2"/>
        <v>0</v>
      </c>
      <c r="I40" s="232"/>
      <c r="J40" s="233"/>
      <c r="K40" s="103"/>
      <c r="L40" s="227"/>
      <c r="M40" s="238">
        <f>I40</f>
        <v>0</v>
      </c>
    </row>
    <row r="41" spans="1:13" s="219" customFormat="1" ht="15" hidden="1">
      <c r="A41" s="227"/>
      <c r="B41" s="234"/>
      <c r="C41" s="235" t="s">
        <v>2</v>
      </c>
      <c r="D41" s="79">
        <f>SUM(D40:D40)</f>
        <v>0</v>
      </c>
      <c r="E41" s="79">
        <f>SUM(E40:E40)</f>
        <v>0</v>
      </c>
      <c r="F41" s="79">
        <f>SUM(F40:F40)</f>
        <v>0</v>
      </c>
      <c r="G41" s="79">
        <f>SUM(G40:G40)</f>
        <v>0</v>
      </c>
      <c r="H41" s="232">
        <f t="shared" si="2"/>
        <v>0</v>
      </c>
      <c r="I41" s="79">
        <f>SUM(I40:I40)</f>
        <v>0</v>
      </c>
      <c r="J41" s="79">
        <f>SUM(J40:J40)</f>
        <v>0</v>
      </c>
      <c r="K41" s="79">
        <f>SUM(K40:K40)</f>
        <v>0</v>
      </c>
      <c r="L41" s="79">
        <f>SUM(L40:L40)</f>
        <v>0</v>
      </c>
      <c r="M41" s="79">
        <f>SUM(M40:M40)</f>
        <v>0</v>
      </c>
    </row>
    <row r="42" spans="1:13" s="219" customFormat="1" ht="15">
      <c r="A42" s="564"/>
      <c r="B42" s="565"/>
      <c r="C42" s="235" t="s">
        <v>194</v>
      </c>
      <c r="D42" s="79">
        <f>D34+D36</f>
        <v>8111000</v>
      </c>
      <c r="E42" s="79">
        <f>E38+E41</f>
        <v>0</v>
      </c>
      <c r="F42" s="79">
        <f>F38+F41</f>
        <v>0</v>
      </c>
      <c r="G42" s="79">
        <f>G38+G41</f>
        <v>0</v>
      </c>
      <c r="H42" s="239">
        <f t="shared" si="2"/>
        <v>8111000</v>
      </c>
      <c r="I42" s="79">
        <f>I34+I36+I35</f>
        <v>3787500</v>
      </c>
      <c r="J42" s="79">
        <f>J34+J36+J35</f>
        <v>0</v>
      </c>
      <c r="K42" s="79">
        <f>K34+K36+K35</f>
        <v>0</v>
      </c>
      <c r="L42" s="79">
        <f>L34+L36+L35</f>
        <v>0</v>
      </c>
      <c r="M42" s="79">
        <f>M34+M36+M35</f>
        <v>3787500</v>
      </c>
    </row>
    <row r="43" s="219" customFormat="1" ht="15"/>
    <row r="44" spans="1:8" s="219" customFormat="1" ht="15">
      <c r="A44" s="220" t="s">
        <v>102</v>
      </c>
      <c r="B44" s="221" t="s">
        <v>518</v>
      </c>
      <c r="D44" s="221"/>
      <c r="E44" s="221"/>
      <c r="F44" s="221"/>
      <c r="G44" s="221"/>
      <c r="H44" s="221"/>
    </row>
    <row r="45" s="219" customFormat="1" ht="6" customHeight="1"/>
    <row r="46" spans="1:11" s="219" customFormat="1" ht="120.75" customHeight="1">
      <c r="A46" s="532" t="s">
        <v>421</v>
      </c>
      <c r="B46" s="533"/>
      <c r="C46" s="226" t="s">
        <v>84</v>
      </c>
      <c r="D46" s="223" t="s">
        <v>115</v>
      </c>
      <c r="E46" s="223" t="s">
        <v>196</v>
      </c>
      <c r="F46" s="223" t="s">
        <v>136</v>
      </c>
      <c r="G46" s="223" t="s">
        <v>433</v>
      </c>
      <c r="H46" s="223" t="s">
        <v>434</v>
      </c>
      <c r="I46" s="226" t="s">
        <v>33</v>
      </c>
      <c r="J46" s="226" t="s">
        <v>114</v>
      </c>
      <c r="K46" s="242"/>
    </row>
    <row r="47" spans="1:11" s="219" customFormat="1" ht="15">
      <c r="A47" s="562">
        <v>1</v>
      </c>
      <c r="B47" s="563"/>
      <c r="C47" s="226">
        <v>2</v>
      </c>
      <c r="D47" s="225">
        <v>3</v>
      </c>
      <c r="E47" s="226">
        <v>4</v>
      </c>
      <c r="F47" s="225">
        <v>5</v>
      </c>
      <c r="G47" s="226">
        <v>6</v>
      </c>
      <c r="H47" s="225">
        <v>7</v>
      </c>
      <c r="I47" s="226">
        <v>8</v>
      </c>
      <c r="J47" s="225">
        <v>9</v>
      </c>
      <c r="K47" s="242"/>
    </row>
    <row r="48" spans="1:10" s="219" customFormat="1" ht="27">
      <c r="A48" s="555"/>
      <c r="B48" s="556"/>
      <c r="C48" s="185" t="s">
        <v>158</v>
      </c>
      <c r="D48" s="232"/>
      <c r="E48" s="231"/>
      <c r="F48" s="233"/>
      <c r="G48" s="227"/>
      <c r="H48" s="227"/>
      <c r="I48" s="227"/>
      <c r="J48" s="227"/>
    </row>
    <row r="49" spans="1:10" s="219" customFormat="1" ht="15" hidden="1">
      <c r="A49" s="227"/>
      <c r="B49" s="234"/>
      <c r="C49" s="235" t="s">
        <v>2</v>
      </c>
      <c r="D49" s="79" t="e">
        <f>#REF!</f>
        <v>#REF!</v>
      </c>
      <c r="E49" s="79" t="e">
        <f>#REF!</f>
        <v>#REF!</v>
      </c>
      <c r="F49" s="79"/>
      <c r="G49" s="227"/>
      <c r="H49" s="227"/>
      <c r="I49" s="227"/>
      <c r="J49" s="227"/>
    </row>
    <row r="50" spans="1:11" s="219" customFormat="1" ht="15">
      <c r="A50" s="532">
        <v>3110</v>
      </c>
      <c r="B50" s="533"/>
      <c r="C50" s="230" t="s">
        <v>94</v>
      </c>
      <c r="D50" s="231"/>
      <c r="E50" s="231"/>
      <c r="F50" s="232"/>
      <c r="G50" s="232"/>
      <c r="H50" s="232"/>
      <c r="I50" s="233"/>
      <c r="J50" s="233"/>
      <c r="K50" s="336"/>
    </row>
    <row r="51" spans="1:11" s="219" customFormat="1" ht="15">
      <c r="A51" s="562">
        <v>3122</v>
      </c>
      <c r="B51" s="563"/>
      <c r="C51" s="230" t="s">
        <v>284</v>
      </c>
      <c r="D51" s="231"/>
      <c r="E51" s="231"/>
      <c r="F51" s="233"/>
      <c r="G51" s="233"/>
      <c r="H51" s="232"/>
      <c r="I51" s="233"/>
      <c r="J51" s="233"/>
      <c r="K51" s="336"/>
    </row>
    <row r="52" spans="1:11" s="219" customFormat="1" ht="15">
      <c r="A52" s="562">
        <v>3132</v>
      </c>
      <c r="B52" s="563"/>
      <c r="C52" s="230" t="s">
        <v>256</v>
      </c>
      <c r="D52" s="231"/>
      <c r="E52" s="231"/>
      <c r="F52" s="104"/>
      <c r="G52" s="104"/>
      <c r="H52" s="232"/>
      <c r="I52" s="104"/>
      <c r="J52" s="104"/>
      <c r="K52" s="336"/>
    </row>
    <row r="53" spans="1:11" s="219" customFormat="1" ht="15">
      <c r="A53" s="562">
        <v>3210</v>
      </c>
      <c r="B53" s="563"/>
      <c r="C53" s="307" t="s">
        <v>156</v>
      </c>
      <c r="D53" s="79">
        <v>319000</v>
      </c>
      <c r="E53" s="79">
        <f>304982</f>
        <v>304982</v>
      </c>
      <c r="F53" s="79"/>
      <c r="G53" s="79"/>
      <c r="H53" s="79"/>
      <c r="I53" s="79"/>
      <c r="J53" s="79"/>
      <c r="K53" s="337"/>
    </row>
    <row r="54" spans="1:10" s="219" customFormat="1" ht="15">
      <c r="A54" s="227"/>
      <c r="B54" s="234"/>
      <c r="C54" s="235" t="s">
        <v>194</v>
      </c>
      <c r="D54" s="79">
        <f aca="true" t="shared" si="3" ref="D54:I54">D53</f>
        <v>319000</v>
      </c>
      <c r="E54" s="79">
        <f t="shared" si="3"/>
        <v>304982</v>
      </c>
      <c r="F54" s="79">
        <f t="shared" si="3"/>
        <v>0</v>
      </c>
      <c r="G54" s="79">
        <f t="shared" si="3"/>
        <v>0</v>
      </c>
      <c r="H54" s="79">
        <f t="shared" si="3"/>
        <v>0</v>
      </c>
      <c r="I54" s="79">
        <f t="shared" si="3"/>
        <v>0</v>
      </c>
      <c r="J54" s="79">
        <v>0</v>
      </c>
    </row>
  </sheetData>
  <sheetProtection/>
  <mergeCells count="43">
    <mergeCell ref="A36:B36"/>
    <mergeCell ref="A37:B37"/>
    <mergeCell ref="A42:B42"/>
    <mergeCell ref="A18:B18"/>
    <mergeCell ref="A33:B33"/>
    <mergeCell ref="A15:B15"/>
    <mergeCell ref="A19:B19"/>
    <mergeCell ref="A16:B16"/>
    <mergeCell ref="A17:B17"/>
    <mergeCell ref="A35:B35"/>
    <mergeCell ref="A34:B34"/>
    <mergeCell ref="G5:G6"/>
    <mergeCell ref="H5:H6"/>
    <mergeCell ref="I5:J5"/>
    <mergeCell ref="K5:K6"/>
    <mergeCell ref="A7:B7"/>
    <mergeCell ref="A14:B14"/>
    <mergeCell ref="B1:C1"/>
    <mergeCell ref="A5:B6"/>
    <mergeCell ref="C5:C6"/>
    <mergeCell ref="D5:D6"/>
    <mergeCell ref="E5:E6"/>
    <mergeCell ref="F5:F6"/>
    <mergeCell ref="M30:M31"/>
    <mergeCell ref="A32:B32"/>
    <mergeCell ref="A48:B48"/>
    <mergeCell ref="A50:B50"/>
    <mergeCell ref="A29:B31"/>
    <mergeCell ref="C29:C31"/>
    <mergeCell ref="D29:H29"/>
    <mergeCell ref="I29:M29"/>
    <mergeCell ref="D30:D31"/>
    <mergeCell ref="E30:E31"/>
    <mergeCell ref="A51:B51"/>
    <mergeCell ref="A52:B52"/>
    <mergeCell ref="A53:B53"/>
    <mergeCell ref="A47:B47"/>
    <mergeCell ref="A46:B46"/>
    <mergeCell ref="K30:L30"/>
    <mergeCell ref="F30:G30"/>
    <mergeCell ref="H30:H31"/>
    <mergeCell ref="I30:I31"/>
    <mergeCell ref="J30:J31"/>
  </mergeCells>
  <printOptions horizontalCentered="1"/>
  <pageMargins left="0" right="0" top="0.37" bottom="0" header="0" footer="0"/>
  <pageSetup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tabColor theme="3" tint="-0.24997000396251678"/>
    <pageSetUpPr fitToPage="1"/>
  </sheetPr>
  <dimension ref="A1:J14"/>
  <sheetViews>
    <sheetView view="pageBreakPreview" zoomScale="85" zoomScaleSheetLayoutView="85" zoomScalePageLayoutView="0" workbookViewId="0" topLeftCell="A1">
      <selection activeCell="E56" sqref="E56"/>
    </sheetView>
  </sheetViews>
  <sheetFormatPr defaultColWidth="9.00390625" defaultRowHeight="15.75"/>
  <cols>
    <col min="1" max="1" width="8.625" style="0" customWidth="1"/>
    <col min="2" max="2" width="50.375" style="0" customWidth="1"/>
    <col min="3" max="3" width="10.625" style="0" customWidth="1"/>
    <col min="4" max="4" width="12.00390625" style="0" customWidth="1"/>
    <col min="5" max="5" width="11.25390625" style="0" customWidth="1"/>
    <col min="6" max="6" width="11.625" style="0" customWidth="1"/>
    <col min="7" max="7" width="11.375" style="0" customWidth="1"/>
    <col min="8" max="8" width="11.25390625" style="0" customWidth="1"/>
    <col min="9" max="9" width="34.625" style="0" customWidth="1"/>
    <col min="10" max="10" width="9.875" style="0" customWidth="1"/>
    <col min="11" max="11" width="10.00390625" style="0" customWidth="1"/>
    <col min="12" max="12" width="10.50390625" style="0" customWidth="1"/>
  </cols>
  <sheetData>
    <row r="1" spans="1:7" s="15" customFormat="1" ht="15">
      <c r="A1" s="11"/>
      <c r="B1" s="1"/>
      <c r="C1" s="1"/>
      <c r="D1" s="1"/>
      <c r="E1" s="1"/>
      <c r="F1" s="1"/>
      <c r="G1" s="1"/>
    </row>
    <row r="2" spans="1:7" s="15" customFormat="1" ht="15">
      <c r="A2" s="11" t="s">
        <v>350</v>
      </c>
      <c r="B2" s="1" t="s">
        <v>435</v>
      </c>
      <c r="C2" s="1"/>
      <c r="D2" s="1"/>
      <c r="E2" s="1"/>
      <c r="F2" s="1"/>
      <c r="G2" s="1"/>
    </row>
    <row r="3" spans="1:9" ht="36" customHeight="1">
      <c r="A3" s="43"/>
      <c r="B3" s="44"/>
      <c r="C3" s="44"/>
      <c r="D3" s="44"/>
      <c r="E3" s="44"/>
      <c r="F3" s="44"/>
      <c r="G3" s="44"/>
      <c r="H3" s="42"/>
      <c r="I3" s="42"/>
    </row>
    <row r="4" spans="1:9" s="15" customFormat="1" ht="36" customHeight="1">
      <c r="A4" s="22" t="s">
        <v>103</v>
      </c>
      <c r="B4" s="549" t="s">
        <v>436</v>
      </c>
      <c r="C4" s="549"/>
      <c r="D4" s="549"/>
      <c r="E4" s="549"/>
      <c r="F4" s="549"/>
      <c r="G4" s="549"/>
      <c r="H4" s="549"/>
      <c r="I4" s="549"/>
    </row>
    <row r="5" spans="1:9" s="15" customFormat="1" ht="105" customHeight="1">
      <c r="A5" s="567" t="s">
        <v>513</v>
      </c>
      <c r="B5" s="567"/>
      <c r="C5" s="567"/>
      <c r="D5" s="567"/>
      <c r="E5" s="567"/>
      <c r="F5" s="567"/>
      <c r="G5" s="567"/>
      <c r="H5" s="567"/>
      <c r="I5" s="567"/>
    </row>
    <row r="6" spans="1:9" s="15" customFormat="1" ht="3.75" customHeight="1">
      <c r="A6" s="462"/>
      <c r="B6" s="462"/>
      <c r="C6" s="462"/>
      <c r="D6" s="462"/>
      <c r="E6" s="462"/>
      <c r="F6" s="462"/>
      <c r="G6" s="462"/>
      <c r="H6" s="462"/>
      <c r="I6" s="462"/>
    </row>
    <row r="7" spans="1:10" s="15" customFormat="1" ht="15" hidden="1">
      <c r="A7" s="462"/>
      <c r="B7" s="462"/>
      <c r="C7" s="462"/>
      <c r="D7" s="462"/>
      <c r="E7" s="462"/>
      <c r="F7" s="462"/>
      <c r="G7" s="462"/>
      <c r="H7" s="462"/>
      <c r="I7" s="462"/>
      <c r="J7" s="9"/>
    </row>
    <row r="8" spans="1:9" s="15" customFormat="1" ht="22.5" customHeight="1" hidden="1">
      <c r="A8" s="462"/>
      <c r="B8" s="462"/>
      <c r="C8" s="462"/>
      <c r="D8" s="462"/>
      <c r="E8" s="462"/>
      <c r="F8" s="462"/>
      <c r="G8" s="462"/>
      <c r="H8" s="462"/>
      <c r="I8" s="462"/>
    </row>
    <row r="9" spans="1:10" s="15" customFormat="1" ht="43.5" customHeight="1">
      <c r="A9" s="139"/>
      <c r="B9" s="139" t="s">
        <v>118</v>
      </c>
      <c r="C9" s="139"/>
      <c r="D9" s="70"/>
      <c r="E9" s="70"/>
      <c r="F9" s="28"/>
      <c r="G9" s="71"/>
      <c r="H9" s="434" t="s">
        <v>119</v>
      </c>
      <c r="I9" s="434"/>
      <c r="J9" s="86"/>
    </row>
    <row r="10" spans="1:9" s="15" customFormat="1" ht="16.5" customHeight="1">
      <c r="A10" s="72"/>
      <c r="E10" s="447" t="s">
        <v>8</v>
      </c>
      <c r="F10" s="447"/>
      <c r="H10" s="568" t="s">
        <v>34</v>
      </c>
      <c r="I10" s="568"/>
    </row>
    <row r="11" spans="1:9" s="15" customFormat="1" ht="45" customHeight="1">
      <c r="A11" s="68"/>
      <c r="B11" s="140" t="s">
        <v>41</v>
      </c>
      <c r="E11" s="566"/>
      <c r="F11" s="566"/>
      <c r="G11" s="71"/>
      <c r="H11" s="434" t="s">
        <v>42</v>
      </c>
      <c r="I11" s="434"/>
    </row>
    <row r="12" spans="1:9" s="15" customFormat="1" ht="30" customHeight="1">
      <c r="A12" s="72"/>
      <c r="E12" s="447" t="s">
        <v>8</v>
      </c>
      <c r="F12" s="447"/>
      <c r="H12" s="447" t="s">
        <v>34</v>
      </c>
      <c r="I12" s="447"/>
    </row>
    <row r="13" spans="1:9" s="15" customFormat="1" ht="30.75">
      <c r="A13" s="68"/>
      <c r="B13" s="69" t="s">
        <v>122</v>
      </c>
      <c r="E13" s="566"/>
      <c r="F13" s="566"/>
      <c r="G13" s="71"/>
      <c r="H13" s="434" t="s">
        <v>123</v>
      </c>
      <c r="I13" s="434"/>
    </row>
    <row r="14" spans="1:9" s="15" customFormat="1" ht="18" customHeight="1">
      <c r="A14" s="72"/>
      <c r="E14" s="447" t="s">
        <v>8</v>
      </c>
      <c r="F14" s="447"/>
      <c r="H14" s="447" t="s">
        <v>34</v>
      </c>
      <c r="I14" s="447"/>
    </row>
  </sheetData>
  <sheetProtection/>
  <mergeCells count="14">
    <mergeCell ref="E13:F13"/>
    <mergeCell ref="H13:I13"/>
    <mergeCell ref="E14:F14"/>
    <mergeCell ref="H14:I14"/>
    <mergeCell ref="E12:F12"/>
    <mergeCell ref="E10:F10"/>
    <mergeCell ref="H10:I10"/>
    <mergeCell ref="H12:I12"/>
    <mergeCell ref="H9:I9"/>
    <mergeCell ref="H11:I11"/>
    <mergeCell ref="E11:F11"/>
    <mergeCell ref="A6:I8"/>
    <mergeCell ref="B4:I4"/>
    <mergeCell ref="A5:I5"/>
  </mergeCells>
  <printOptions horizontalCentered="1"/>
  <pageMargins left="0" right="0" top="0.35433070866141736" bottom="0" header="0" footer="0"/>
  <pageSetup fitToHeight="1" fitToWidth="1"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sheetPr>
    <tabColor theme="3" tint="-0.24997000396251678"/>
  </sheetPr>
  <dimension ref="A2:N88"/>
  <sheetViews>
    <sheetView view="pageBreakPreview" zoomScaleSheetLayoutView="100" zoomScalePageLayoutView="0" workbookViewId="0" topLeftCell="A74">
      <selection activeCell="E56" sqref="E56"/>
    </sheetView>
  </sheetViews>
  <sheetFormatPr defaultColWidth="9.00390625" defaultRowHeight="15.75"/>
  <cols>
    <col min="1" max="1" width="9.25390625" style="37" customWidth="1"/>
    <col min="2" max="2" width="2.25390625" style="37" customWidth="1"/>
    <col min="3" max="3" width="33.25390625" style="37" customWidth="1"/>
    <col min="4" max="4" width="10.50390625" style="37" customWidth="1"/>
    <col min="5" max="5" width="23.125" style="37" customWidth="1"/>
    <col min="6" max="6" width="16.625" style="37" customWidth="1"/>
    <col min="7" max="7" width="13.50390625" style="37" customWidth="1"/>
    <col min="8" max="8" width="35.125" style="37" customWidth="1"/>
    <col min="9" max="9" width="14.50390625" style="37" customWidth="1"/>
    <col min="10" max="16384" width="9.00390625" style="59" customWidth="1"/>
  </cols>
  <sheetData>
    <row r="2" spans="8:11" ht="15">
      <c r="H2" s="37" t="s">
        <v>137</v>
      </c>
      <c r="J2" s="37"/>
      <c r="K2" s="37"/>
    </row>
    <row r="3" spans="8:11" ht="15">
      <c r="H3" s="37" t="s">
        <v>129</v>
      </c>
      <c r="J3" s="37"/>
      <c r="K3" s="37"/>
    </row>
    <row r="4" spans="8:11" ht="15">
      <c r="H4" s="37" t="s">
        <v>130</v>
      </c>
      <c r="J4" s="37"/>
      <c r="K4" s="37"/>
    </row>
    <row r="5" spans="10:11" ht="12" customHeight="1">
      <c r="J5" s="37"/>
      <c r="K5" s="37"/>
    </row>
    <row r="6" spans="10:11" ht="15" hidden="1">
      <c r="J6" s="37"/>
      <c r="K6" s="37"/>
    </row>
    <row r="7" spans="1:8" ht="25.5" customHeight="1" thickBot="1">
      <c r="A7" s="604" t="s">
        <v>437</v>
      </c>
      <c r="B7" s="604"/>
      <c r="C7" s="604"/>
      <c r="D7" s="604"/>
      <c r="E7" s="604"/>
      <c r="F7" s="604"/>
      <c r="G7" s="604"/>
      <c r="H7" s="604"/>
    </row>
    <row r="8" spans="1:8" ht="25.5" customHeight="1">
      <c r="A8" s="344"/>
      <c r="B8" s="344"/>
      <c r="C8" s="344"/>
      <c r="D8" s="344"/>
      <c r="E8" s="344"/>
      <c r="F8" s="344"/>
      <c r="G8" s="344"/>
      <c r="H8" s="344"/>
    </row>
    <row r="9" spans="1:14" s="37" customFormat="1" ht="15">
      <c r="A9" s="345" t="s">
        <v>16</v>
      </c>
      <c r="B9" s="457" t="s">
        <v>35</v>
      </c>
      <c r="C9" s="457"/>
      <c r="D9" s="457"/>
      <c r="E9" s="457"/>
      <c r="F9" s="457"/>
      <c r="G9" s="38"/>
      <c r="H9" s="31" t="s">
        <v>146</v>
      </c>
      <c r="I9" s="32"/>
      <c r="J9" s="33"/>
      <c r="K9" s="33"/>
      <c r="L9" s="346"/>
      <c r="M9" s="346"/>
      <c r="N9" s="346"/>
    </row>
    <row r="10" spans="1:14" s="172" customFormat="1" ht="18" customHeight="1">
      <c r="A10" s="347" t="s">
        <v>1</v>
      </c>
      <c r="B10" s="601" t="s">
        <v>45</v>
      </c>
      <c r="C10" s="601"/>
      <c r="D10" s="601"/>
      <c r="E10" s="601"/>
      <c r="F10" s="601"/>
      <c r="G10" s="601" t="s">
        <v>322</v>
      </c>
      <c r="H10" s="601"/>
      <c r="I10" s="601"/>
      <c r="J10" s="348"/>
      <c r="K10" s="348"/>
      <c r="L10" s="348"/>
      <c r="M10" s="348"/>
      <c r="N10" s="349"/>
    </row>
    <row r="11" spans="1:11" s="37" customFormat="1" ht="6" customHeight="1">
      <c r="A11" s="24"/>
      <c r="J11" s="59"/>
      <c r="K11" s="59"/>
    </row>
    <row r="12" spans="1:14" s="37" customFormat="1" ht="15">
      <c r="A12" s="345" t="s">
        <v>18</v>
      </c>
      <c r="B12" s="457" t="str">
        <f>B9</f>
        <v>Виконавчий комітет Сумської міської ради</v>
      </c>
      <c r="C12" s="457"/>
      <c r="D12" s="457"/>
      <c r="E12" s="457"/>
      <c r="F12" s="457"/>
      <c r="G12" s="350"/>
      <c r="H12" s="31" t="s">
        <v>147</v>
      </c>
      <c r="I12" s="350"/>
      <c r="J12" s="351"/>
      <c r="K12" s="33"/>
      <c r="L12" s="346"/>
      <c r="M12" s="346"/>
      <c r="N12" s="346"/>
    </row>
    <row r="13" spans="1:14" s="172" customFormat="1" ht="12.75">
      <c r="A13" s="347" t="s">
        <v>1</v>
      </c>
      <c r="B13" s="605" t="s">
        <v>503</v>
      </c>
      <c r="C13" s="605"/>
      <c r="D13" s="605"/>
      <c r="E13" s="605"/>
      <c r="F13" s="605"/>
      <c r="G13" s="352" t="s">
        <v>322</v>
      </c>
      <c r="H13" s="352"/>
      <c r="I13" s="352"/>
      <c r="J13" s="352"/>
      <c r="K13" s="352"/>
      <c r="L13" s="352"/>
      <c r="M13" s="352"/>
      <c r="N13" s="349"/>
    </row>
    <row r="14" s="37" customFormat="1" ht="9" customHeight="1">
      <c r="A14" s="24"/>
    </row>
    <row r="15" spans="1:14" s="37" customFormat="1" ht="15">
      <c r="A15" s="345" t="s">
        <v>21</v>
      </c>
      <c r="B15" s="457" t="s">
        <v>158</v>
      </c>
      <c r="C15" s="457"/>
      <c r="D15" s="457"/>
      <c r="E15" s="457"/>
      <c r="F15" s="457"/>
      <c r="G15" s="33"/>
      <c r="H15" s="31" t="s">
        <v>296</v>
      </c>
      <c r="I15" s="33"/>
      <c r="J15" s="351"/>
      <c r="K15" s="33"/>
      <c r="L15" s="346"/>
      <c r="M15" s="346"/>
      <c r="N15" s="346"/>
    </row>
    <row r="16" spans="1:14" s="172" customFormat="1" ht="51" customHeight="1">
      <c r="A16" s="347" t="s">
        <v>1</v>
      </c>
      <c r="B16" s="600" t="s">
        <v>462</v>
      </c>
      <c r="C16" s="600"/>
      <c r="D16" s="600"/>
      <c r="E16" s="600"/>
      <c r="F16" s="600"/>
      <c r="G16" s="601" t="s">
        <v>336</v>
      </c>
      <c r="H16" s="601"/>
      <c r="I16" s="601"/>
      <c r="J16" s="352"/>
      <c r="K16" s="352"/>
      <c r="L16" s="352"/>
      <c r="M16" s="352"/>
      <c r="N16" s="349"/>
    </row>
    <row r="17" spans="1:8" ht="15.75" customHeight="1">
      <c r="A17" s="353" t="s">
        <v>23</v>
      </c>
      <c r="B17" s="582" t="s">
        <v>438</v>
      </c>
      <c r="C17" s="582"/>
      <c r="D17" s="582"/>
      <c r="E17" s="582"/>
      <c r="F17" s="582"/>
      <c r="G17" s="582"/>
      <c r="H17" s="582"/>
    </row>
    <row r="18" spans="1:8" ht="15">
      <c r="A18" s="353"/>
      <c r="B18" s="353"/>
      <c r="C18" s="354"/>
      <c r="D18" s="354"/>
      <c r="E18" s="354"/>
      <c r="F18" s="354"/>
      <c r="G18" s="354"/>
      <c r="H18" s="354"/>
    </row>
    <row r="19" spans="1:8" ht="18" customHeight="1">
      <c r="A19" s="355" t="s">
        <v>334</v>
      </c>
      <c r="B19" s="582" t="s">
        <v>490</v>
      </c>
      <c r="C19" s="582"/>
      <c r="D19" s="582"/>
      <c r="E19" s="582"/>
      <c r="F19" s="582"/>
      <c r="G19" s="582"/>
      <c r="H19" s="582"/>
    </row>
    <row r="20" ht="15">
      <c r="H20" s="26" t="s">
        <v>70</v>
      </c>
    </row>
    <row r="21" spans="1:9" s="358" customFormat="1" ht="42.75" customHeight="1">
      <c r="A21" s="587" t="s">
        <v>421</v>
      </c>
      <c r="B21" s="602"/>
      <c r="C21" s="497" t="s">
        <v>44</v>
      </c>
      <c r="D21" s="591" t="s">
        <v>338</v>
      </c>
      <c r="E21" s="591" t="s">
        <v>339</v>
      </c>
      <c r="F21" s="584" t="s">
        <v>439</v>
      </c>
      <c r="G21" s="432"/>
      <c r="H21" s="591" t="s">
        <v>446</v>
      </c>
      <c r="I21" s="357"/>
    </row>
    <row r="22" spans="1:9" s="358" customFormat="1" ht="68.25" customHeight="1">
      <c r="A22" s="589"/>
      <c r="B22" s="603"/>
      <c r="C22" s="497"/>
      <c r="D22" s="592"/>
      <c r="E22" s="592"/>
      <c r="F22" s="17" t="s">
        <v>104</v>
      </c>
      <c r="G22" s="356" t="s">
        <v>85</v>
      </c>
      <c r="H22" s="592"/>
      <c r="I22" s="357"/>
    </row>
    <row r="23" spans="1:9" s="171" customFormat="1" ht="15.75" customHeight="1">
      <c r="A23" s="593">
        <v>1</v>
      </c>
      <c r="B23" s="594"/>
      <c r="C23" s="359">
        <v>2</v>
      </c>
      <c r="D23" s="359">
        <v>3</v>
      </c>
      <c r="E23" s="359">
        <v>4</v>
      </c>
      <c r="F23" s="359">
        <v>5</v>
      </c>
      <c r="G23" s="359">
        <v>6</v>
      </c>
      <c r="H23" s="359">
        <v>7</v>
      </c>
      <c r="I23" s="360"/>
    </row>
    <row r="24" spans="1:9" s="365" customFormat="1" ht="27" customHeight="1">
      <c r="A24" s="598"/>
      <c r="B24" s="599"/>
      <c r="C24" s="361" t="s">
        <v>158</v>
      </c>
      <c r="D24" s="362"/>
      <c r="E24" s="362"/>
      <c r="F24" s="362"/>
      <c r="G24" s="363"/>
      <c r="H24" s="363"/>
      <c r="I24" s="364"/>
    </row>
    <row r="25" spans="1:9" s="171" customFormat="1" ht="19.5" customHeight="1">
      <c r="A25" s="584">
        <v>2210</v>
      </c>
      <c r="B25" s="432"/>
      <c r="C25" s="272" t="s">
        <v>93</v>
      </c>
      <c r="D25" s="178">
        <f>'2019-2(6.1;6.2;6.3,6.4)'!D7</f>
        <v>35000</v>
      </c>
      <c r="E25" s="178">
        <f>'2019-2(6.1;6.2;6.3,6.4)'!H7</f>
        <v>1044300</v>
      </c>
      <c r="F25" s="178">
        <f>'2019-2(6.1;6.2;6.3,6.4)'!L7</f>
        <v>478000</v>
      </c>
      <c r="G25" s="79"/>
      <c r="H25" s="359"/>
      <c r="I25" s="360"/>
    </row>
    <row r="26" spans="1:9" s="171" customFormat="1" ht="15.75" customHeight="1">
      <c r="A26" s="584">
        <v>2240</v>
      </c>
      <c r="B26" s="432"/>
      <c r="C26" s="272" t="s">
        <v>149</v>
      </c>
      <c r="D26" s="178">
        <f>'2019-2(6.1;6.2;6.3,6.4)'!D8</f>
        <v>162608.58</v>
      </c>
      <c r="E26" s="178">
        <f>'2019-2(6.1;6.2;6.3,6.4)'!H8</f>
        <v>7752990</v>
      </c>
      <c r="F26" s="178">
        <f>'2019-2(6.1;6.2;6.3,6.4)'!L8</f>
        <v>9585860</v>
      </c>
      <c r="G26" s="79"/>
      <c r="H26" s="359"/>
      <c r="I26" s="360"/>
    </row>
    <row r="27" spans="1:9" s="171" customFormat="1" ht="31.5" customHeight="1">
      <c r="A27" s="584">
        <v>2610</v>
      </c>
      <c r="B27" s="432"/>
      <c r="C27" s="272" t="s">
        <v>155</v>
      </c>
      <c r="D27" s="178">
        <f>'2019-2(6.1;6.2;6.3,6.4)'!D9</f>
        <v>3081327.7</v>
      </c>
      <c r="E27" s="178">
        <f>'2019-2(6.1;6.2;6.3,6.4)'!H9</f>
        <v>0</v>
      </c>
      <c r="F27" s="178"/>
      <c r="G27" s="79"/>
      <c r="H27" s="359"/>
      <c r="I27" s="360"/>
    </row>
    <row r="28" spans="1:9" s="399" customFormat="1" ht="30.75" customHeight="1" hidden="1">
      <c r="A28" s="577">
        <v>3110</v>
      </c>
      <c r="B28" s="578"/>
      <c r="C28" s="394" t="s">
        <v>94</v>
      </c>
      <c r="D28" s="395"/>
      <c r="E28" s="395"/>
      <c r="F28" s="395"/>
      <c r="G28" s="396"/>
      <c r="H28" s="397"/>
      <c r="I28" s="398"/>
    </row>
    <row r="29" spans="1:9" s="399" customFormat="1" ht="30.75" customHeight="1" hidden="1">
      <c r="A29" s="577">
        <v>3122</v>
      </c>
      <c r="B29" s="578"/>
      <c r="C29" s="394" t="s">
        <v>284</v>
      </c>
      <c r="D29" s="395"/>
      <c r="E29" s="395"/>
      <c r="F29" s="395"/>
      <c r="G29" s="396"/>
      <c r="H29" s="397"/>
      <c r="I29" s="398"/>
    </row>
    <row r="30" spans="1:9" s="399" customFormat="1" ht="24" customHeight="1" hidden="1">
      <c r="A30" s="577">
        <v>3132</v>
      </c>
      <c r="B30" s="578"/>
      <c r="C30" s="394" t="s">
        <v>256</v>
      </c>
      <c r="D30" s="395"/>
      <c r="E30" s="395"/>
      <c r="F30" s="395"/>
      <c r="G30" s="396"/>
      <c r="H30" s="397"/>
      <c r="I30" s="398"/>
    </row>
    <row r="31" spans="1:9" s="399" customFormat="1" ht="30.75" customHeight="1" hidden="1">
      <c r="A31" s="577">
        <v>3210</v>
      </c>
      <c r="B31" s="578"/>
      <c r="C31" s="394" t="s">
        <v>156</v>
      </c>
      <c r="D31" s="395"/>
      <c r="E31" s="395"/>
      <c r="F31" s="395"/>
      <c r="G31" s="396"/>
      <c r="H31" s="397"/>
      <c r="I31" s="398"/>
    </row>
    <row r="32" spans="1:9" s="171" customFormat="1" ht="15.75" customHeight="1">
      <c r="A32" s="573"/>
      <c r="B32" s="573"/>
      <c r="C32" s="366" t="s">
        <v>331</v>
      </c>
      <c r="D32" s="170">
        <f>D25+D26+D31+D27</f>
        <v>3278936.2800000003</v>
      </c>
      <c r="E32" s="170">
        <f>E25+E26+E27+E28+E29+E30+E31</f>
        <v>8797290</v>
      </c>
      <c r="F32" s="170">
        <f>F25+F26+F27+F28+F29+F30+F31</f>
        <v>10063860</v>
      </c>
      <c r="G32" s="79" t="s">
        <v>40</v>
      </c>
      <c r="H32" s="359"/>
      <c r="I32" s="360"/>
    </row>
    <row r="34" spans="1:9" s="368" customFormat="1" ht="13.5" customHeight="1">
      <c r="A34" s="24" t="s">
        <v>105</v>
      </c>
      <c r="B34" s="24"/>
      <c r="C34" s="367"/>
      <c r="D34" s="367"/>
      <c r="E34" s="367"/>
      <c r="F34" s="367"/>
      <c r="G34" s="367"/>
      <c r="H34" s="367"/>
      <c r="I34" s="24"/>
    </row>
    <row r="36" spans="1:8" ht="29.25" customHeight="1">
      <c r="A36" s="584" t="s">
        <v>24</v>
      </c>
      <c r="B36" s="432"/>
      <c r="C36" s="17" t="s">
        <v>84</v>
      </c>
      <c r="D36" s="17" t="s">
        <v>49</v>
      </c>
      <c r="E36" s="17" t="s">
        <v>50</v>
      </c>
      <c r="F36" s="497" t="s">
        <v>440</v>
      </c>
      <c r="G36" s="497"/>
      <c r="H36" s="17" t="s">
        <v>447</v>
      </c>
    </row>
    <row r="37" spans="1:9" s="365" customFormat="1" ht="15">
      <c r="A37" s="593">
        <v>1</v>
      </c>
      <c r="B37" s="594"/>
      <c r="C37" s="359">
        <v>2</v>
      </c>
      <c r="D37" s="359">
        <v>3</v>
      </c>
      <c r="E37" s="359">
        <v>4</v>
      </c>
      <c r="F37" s="597">
        <v>5</v>
      </c>
      <c r="G37" s="597"/>
      <c r="H37" s="359">
        <v>6</v>
      </c>
      <c r="I37" s="364"/>
    </row>
    <row r="38" spans="1:9" s="365" customFormat="1" ht="15">
      <c r="A38" s="593"/>
      <c r="B38" s="594"/>
      <c r="C38" s="369"/>
      <c r="D38" s="359"/>
      <c r="E38" s="359"/>
      <c r="F38" s="595"/>
      <c r="G38" s="596"/>
      <c r="H38" s="359"/>
      <c r="I38" s="364"/>
    </row>
    <row r="39" spans="1:9" s="365" customFormat="1" ht="15">
      <c r="A39" s="593"/>
      <c r="B39" s="594"/>
      <c r="C39" s="369"/>
      <c r="D39" s="359"/>
      <c r="E39" s="359"/>
      <c r="F39" s="595"/>
      <c r="G39" s="596"/>
      <c r="H39" s="359"/>
      <c r="I39" s="364"/>
    </row>
    <row r="40" spans="1:9" s="365" customFormat="1" ht="15">
      <c r="A40" s="593"/>
      <c r="B40" s="594"/>
      <c r="C40" s="369" t="s">
        <v>52</v>
      </c>
      <c r="D40" s="359"/>
      <c r="E40" s="359"/>
      <c r="F40" s="595"/>
      <c r="G40" s="596"/>
      <c r="H40" s="359"/>
      <c r="I40" s="364"/>
    </row>
    <row r="41" spans="1:9" s="365" customFormat="1" ht="15">
      <c r="A41" s="593"/>
      <c r="B41" s="594"/>
      <c r="C41" s="369" t="s">
        <v>86</v>
      </c>
      <c r="D41" s="359"/>
      <c r="E41" s="359"/>
      <c r="F41" s="595"/>
      <c r="G41" s="596"/>
      <c r="H41" s="359"/>
      <c r="I41" s="364"/>
    </row>
    <row r="42" spans="1:8" ht="15">
      <c r="A42" s="593"/>
      <c r="B42" s="594"/>
      <c r="C42" s="369" t="s">
        <v>53</v>
      </c>
      <c r="D42" s="109"/>
      <c r="E42" s="109"/>
      <c r="F42" s="595"/>
      <c r="G42" s="596"/>
      <c r="H42" s="109"/>
    </row>
    <row r="43" spans="1:8" ht="15">
      <c r="A43" s="593"/>
      <c r="B43" s="594"/>
      <c r="C43" s="369" t="s">
        <v>86</v>
      </c>
      <c r="D43" s="109"/>
      <c r="E43" s="109"/>
      <c r="F43" s="595"/>
      <c r="G43" s="596"/>
      <c r="H43" s="109"/>
    </row>
    <row r="44" spans="1:8" ht="15">
      <c r="A44" s="593"/>
      <c r="B44" s="594"/>
      <c r="C44" s="369" t="s">
        <v>54</v>
      </c>
      <c r="D44" s="109"/>
      <c r="E44" s="109"/>
      <c r="F44" s="595"/>
      <c r="G44" s="596"/>
      <c r="H44" s="109"/>
    </row>
    <row r="45" spans="1:8" ht="15">
      <c r="A45" s="593"/>
      <c r="B45" s="594"/>
      <c r="C45" s="369" t="s">
        <v>86</v>
      </c>
      <c r="D45" s="109"/>
      <c r="E45" s="109"/>
      <c r="F45" s="595"/>
      <c r="G45" s="596"/>
      <c r="H45" s="109"/>
    </row>
    <row r="46" spans="1:8" ht="15">
      <c r="A46" s="593"/>
      <c r="B46" s="594"/>
      <c r="C46" s="369" t="s">
        <v>55</v>
      </c>
      <c r="D46" s="109"/>
      <c r="E46" s="109"/>
      <c r="F46" s="595"/>
      <c r="G46" s="596"/>
      <c r="H46" s="109"/>
    </row>
    <row r="47" spans="1:8" ht="15">
      <c r="A47" s="593"/>
      <c r="B47" s="594"/>
      <c r="C47" s="369" t="s">
        <v>86</v>
      </c>
      <c r="D47" s="109"/>
      <c r="E47" s="109"/>
      <c r="F47" s="595"/>
      <c r="G47" s="596"/>
      <c r="H47" s="109"/>
    </row>
    <row r="49" spans="1:9" s="368" customFormat="1" ht="30" customHeight="1">
      <c r="A49" s="582" t="s">
        <v>470</v>
      </c>
      <c r="B49" s="582"/>
      <c r="C49" s="582"/>
      <c r="D49" s="582"/>
      <c r="E49" s="582"/>
      <c r="F49" s="582"/>
      <c r="G49" s="582"/>
      <c r="H49" s="582"/>
      <c r="I49" s="24"/>
    </row>
    <row r="50" spans="3:8" ht="13.5" customHeight="1">
      <c r="C50" s="367"/>
      <c r="D50" s="367"/>
      <c r="E50" s="367"/>
      <c r="F50" s="367"/>
      <c r="G50" s="367"/>
      <c r="H50" s="367"/>
    </row>
    <row r="51" spans="3:9" ht="13.5" customHeight="1">
      <c r="C51" s="367"/>
      <c r="D51" s="367"/>
      <c r="E51" s="367"/>
      <c r="F51" s="367"/>
      <c r="G51" s="367"/>
      <c r="H51" s="59"/>
      <c r="I51" s="152"/>
    </row>
    <row r="52" spans="1:9" ht="13.5" customHeight="1">
      <c r="A52" s="574" t="s">
        <v>331</v>
      </c>
      <c r="B52" s="575"/>
      <c r="C52" s="370"/>
      <c r="D52" s="369"/>
      <c r="E52" s="369"/>
      <c r="F52" s="369"/>
      <c r="G52" s="369"/>
      <c r="H52" s="369"/>
      <c r="I52" s="154"/>
    </row>
    <row r="53" spans="3:8" ht="13.5" customHeight="1">
      <c r="C53" s="367"/>
      <c r="D53" s="367"/>
      <c r="E53" s="367"/>
      <c r="F53" s="367"/>
      <c r="G53" s="367"/>
      <c r="H53" s="367"/>
    </row>
    <row r="54" spans="1:8" ht="15" customHeight="1">
      <c r="A54" s="355" t="s">
        <v>335</v>
      </c>
      <c r="B54" s="582" t="s">
        <v>491</v>
      </c>
      <c r="C54" s="582"/>
      <c r="D54" s="582"/>
      <c r="E54" s="582"/>
      <c r="F54" s="582"/>
      <c r="G54" s="582"/>
      <c r="H54" s="582"/>
    </row>
    <row r="55" spans="3:8" ht="13.5" customHeight="1">
      <c r="C55" s="367"/>
      <c r="D55" s="367"/>
      <c r="E55" s="367"/>
      <c r="F55" s="367"/>
      <c r="G55" s="367"/>
      <c r="H55" s="26" t="s">
        <v>70</v>
      </c>
    </row>
    <row r="56" spans="1:8" ht="32.25" customHeight="1">
      <c r="A56" s="497" t="s">
        <v>14</v>
      </c>
      <c r="B56" s="587" t="s">
        <v>44</v>
      </c>
      <c r="C56" s="588"/>
      <c r="D56" s="497" t="s">
        <v>142</v>
      </c>
      <c r="E56" s="497"/>
      <c r="F56" s="497" t="s">
        <v>441</v>
      </c>
      <c r="G56" s="497"/>
      <c r="H56" s="591" t="s">
        <v>442</v>
      </c>
    </row>
    <row r="57" spans="1:8" ht="39" customHeight="1">
      <c r="A57" s="497"/>
      <c r="B57" s="589"/>
      <c r="C57" s="590"/>
      <c r="D57" s="17" t="s">
        <v>88</v>
      </c>
      <c r="E57" s="74" t="s">
        <v>443</v>
      </c>
      <c r="F57" s="17" t="s">
        <v>88</v>
      </c>
      <c r="G57" s="74" t="s">
        <v>443</v>
      </c>
      <c r="H57" s="592"/>
    </row>
    <row r="58" spans="1:8" ht="13.5" customHeight="1">
      <c r="A58" s="17">
        <v>1</v>
      </c>
      <c r="B58" s="584">
        <v>2</v>
      </c>
      <c r="C58" s="432"/>
      <c r="D58" s="17">
        <v>3</v>
      </c>
      <c r="E58" s="17">
        <v>4</v>
      </c>
      <c r="F58" s="17">
        <v>5</v>
      </c>
      <c r="G58" s="17">
        <v>6</v>
      </c>
      <c r="H58" s="17">
        <v>7</v>
      </c>
    </row>
    <row r="59" spans="1:8" ht="13.5" customHeight="1">
      <c r="A59" s="286"/>
      <c r="B59" s="585"/>
      <c r="C59" s="586"/>
      <c r="D59" s="17"/>
      <c r="E59" s="17"/>
      <c r="F59" s="17"/>
      <c r="G59" s="17"/>
      <c r="H59" s="17"/>
    </row>
    <row r="60" spans="1:8" ht="13.5" customHeight="1">
      <c r="A60" s="286"/>
      <c r="B60" s="585"/>
      <c r="C60" s="586"/>
      <c r="D60" s="17"/>
      <c r="E60" s="17"/>
      <c r="F60" s="17"/>
      <c r="G60" s="17"/>
      <c r="H60" s="17"/>
    </row>
    <row r="61" spans="1:8" ht="13.5" customHeight="1">
      <c r="A61" s="286"/>
      <c r="B61" s="585"/>
      <c r="C61" s="586"/>
      <c r="D61" s="17"/>
      <c r="E61" s="17"/>
      <c r="F61" s="17"/>
      <c r="G61" s="17"/>
      <c r="H61" s="17"/>
    </row>
    <row r="62" spans="1:8" ht="13.5" customHeight="1">
      <c r="A62" s="286"/>
      <c r="B62" s="585"/>
      <c r="C62" s="586"/>
      <c r="D62" s="17"/>
      <c r="E62" s="17"/>
      <c r="F62" s="17"/>
      <c r="G62" s="17"/>
      <c r="H62" s="17"/>
    </row>
    <row r="63" spans="1:8" ht="13.5" customHeight="1">
      <c r="A63" s="286"/>
      <c r="B63" s="585"/>
      <c r="C63" s="586"/>
      <c r="D63" s="17"/>
      <c r="E63" s="17"/>
      <c r="F63" s="17"/>
      <c r="G63" s="17"/>
      <c r="H63" s="17"/>
    </row>
    <row r="64" spans="3:8" ht="13.5" customHeight="1">
      <c r="C64" s="367"/>
      <c r="D64" s="367"/>
      <c r="E64" s="367"/>
      <c r="F64" s="367"/>
      <c r="G64" s="367"/>
      <c r="H64" s="367"/>
    </row>
    <row r="65" spans="1:9" s="368" customFormat="1" ht="13.5" customHeight="1">
      <c r="A65" s="24" t="s">
        <v>492</v>
      </c>
      <c r="B65" s="24"/>
      <c r="C65" s="367"/>
      <c r="D65" s="367"/>
      <c r="E65" s="367"/>
      <c r="F65" s="367"/>
      <c r="G65" s="367"/>
      <c r="H65" s="367"/>
      <c r="I65" s="24"/>
    </row>
    <row r="66" spans="1:8" ht="13.5" customHeight="1">
      <c r="A66" s="371"/>
      <c r="B66" s="371"/>
      <c r="C66" s="367"/>
      <c r="D66" s="367"/>
      <c r="E66" s="367"/>
      <c r="F66" s="367"/>
      <c r="G66" s="367"/>
      <c r="H66" s="367"/>
    </row>
    <row r="67" spans="1:9" ht="73.5" customHeight="1">
      <c r="A67" s="580" t="s">
        <v>24</v>
      </c>
      <c r="B67" s="581"/>
      <c r="C67" s="372" t="s">
        <v>84</v>
      </c>
      <c r="D67" s="372" t="s">
        <v>49</v>
      </c>
      <c r="E67" s="372" t="s">
        <v>50</v>
      </c>
      <c r="F67" s="372" t="s">
        <v>143</v>
      </c>
      <c r="G67" s="372" t="s">
        <v>144</v>
      </c>
      <c r="H67" s="372" t="s">
        <v>444</v>
      </c>
      <c r="I67" s="372" t="s">
        <v>445</v>
      </c>
    </row>
    <row r="68" spans="1:9" ht="13.5" customHeight="1">
      <c r="A68" s="580">
        <v>1</v>
      </c>
      <c r="B68" s="581"/>
      <c r="C68" s="372">
        <v>2</v>
      </c>
      <c r="D68" s="372">
        <v>3</v>
      </c>
      <c r="E68" s="372">
        <v>4</v>
      </c>
      <c r="F68" s="372">
        <v>5</v>
      </c>
      <c r="G68" s="372">
        <v>6</v>
      </c>
      <c r="H68" s="372">
        <v>7</v>
      </c>
      <c r="I68" s="372">
        <v>8</v>
      </c>
    </row>
    <row r="69" spans="1:9" ht="13.5" customHeight="1">
      <c r="A69" s="580"/>
      <c r="B69" s="581"/>
      <c r="C69" s="373" t="s">
        <v>52</v>
      </c>
      <c r="D69" s="374"/>
      <c r="E69" s="374"/>
      <c r="F69" s="374"/>
      <c r="G69" s="374"/>
      <c r="H69" s="374"/>
      <c r="I69" s="374"/>
    </row>
    <row r="70" spans="1:9" ht="13.5" customHeight="1">
      <c r="A70" s="580"/>
      <c r="B70" s="581"/>
      <c r="C70" s="373" t="s">
        <v>86</v>
      </c>
      <c r="D70" s="374"/>
      <c r="E70" s="374"/>
      <c r="F70" s="374"/>
      <c r="G70" s="374"/>
      <c r="H70" s="374"/>
      <c r="I70" s="374"/>
    </row>
    <row r="71" spans="1:9" ht="13.5" customHeight="1">
      <c r="A71" s="580"/>
      <c r="B71" s="581"/>
      <c r="C71" s="373" t="s">
        <v>53</v>
      </c>
      <c r="D71" s="374"/>
      <c r="E71" s="374"/>
      <c r="F71" s="374"/>
      <c r="G71" s="374"/>
      <c r="H71" s="374"/>
      <c r="I71" s="374"/>
    </row>
    <row r="72" spans="1:9" ht="13.5" customHeight="1">
      <c r="A72" s="580"/>
      <c r="B72" s="581"/>
      <c r="C72" s="373" t="s">
        <v>86</v>
      </c>
      <c r="D72" s="374"/>
      <c r="E72" s="374"/>
      <c r="F72" s="374"/>
      <c r="G72" s="374"/>
      <c r="H72" s="374"/>
      <c r="I72" s="374"/>
    </row>
    <row r="73" spans="1:9" ht="13.5" customHeight="1">
      <c r="A73" s="580"/>
      <c r="B73" s="581"/>
      <c r="C73" s="373" t="s">
        <v>54</v>
      </c>
      <c r="D73" s="374"/>
      <c r="E73" s="374"/>
      <c r="F73" s="374"/>
      <c r="G73" s="374"/>
      <c r="H73" s="374"/>
      <c r="I73" s="374"/>
    </row>
    <row r="74" spans="1:9" ht="13.5" customHeight="1">
      <c r="A74" s="580"/>
      <c r="B74" s="581"/>
      <c r="C74" s="373" t="s">
        <v>86</v>
      </c>
      <c r="D74" s="374"/>
      <c r="E74" s="374"/>
      <c r="F74" s="374"/>
      <c r="G74" s="374"/>
      <c r="H74" s="374"/>
      <c r="I74" s="374"/>
    </row>
    <row r="75" spans="1:9" ht="13.5" customHeight="1">
      <c r="A75" s="580"/>
      <c r="B75" s="581"/>
      <c r="C75" s="373" t="s">
        <v>55</v>
      </c>
      <c r="D75" s="374"/>
      <c r="E75" s="374"/>
      <c r="F75" s="374"/>
      <c r="G75" s="374"/>
      <c r="H75" s="374"/>
      <c r="I75" s="374"/>
    </row>
    <row r="76" spans="1:9" ht="13.5" customHeight="1">
      <c r="A76" s="580"/>
      <c r="B76" s="581"/>
      <c r="C76" s="373" t="s">
        <v>86</v>
      </c>
      <c r="D76" s="374"/>
      <c r="E76" s="374"/>
      <c r="F76" s="374"/>
      <c r="G76" s="374"/>
      <c r="H76" s="374"/>
      <c r="I76" s="374"/>
    </row>
    <row r="77" spans="1:2" ht="13.5" customHeight="1">
      <c r="A77" s="375"/>
      <c r="B77" s="375"/>
    </row>
    <row r="78" spans="1:2" ht="6" customHeight="1">
      <c r="A78" s="375"/>
      <c r="B78" s="375"/>
    </row>
    <row r="79" spans="1:8" ht="29.25" customHeight="1">
      <c r="A79" s="582" t="s">
        <v>493</v>
      </c>
      <c r="B79" s="582"/>
      <c r="C79" s="582"/>
      <c r="D79" s="582"/>
      <c r="E79" s="582"/>
      <c r="F79" s="582"/>
      <c r="G79" s="582"/>
      <c r="H79" s="582"/>
    </row>
    <row r="80" spans="1:8" ht="17.25" customHeight="1">
      <c r="A80" s="354"/>
      <c r="B80" s="354"/>
      <c r="C80" s="354"/>
      <c r="D80" s="354"/>
      <c r="E80" s="354"/>
      <c r="F80" s="354"/>
      <c r="G80" s="354"/>
      <c r="H80" s="354"/>
    </row>
    <row r="81" spans="1:9" s="377" customFormat="1" ht="13.5" customHeight="1">
      <c r="A81" s="583" t="s">
        <v>331</v>
      </c>
      <c r="B81" s="583"/>
      <c r="C81" s="583"/>
      <c r="D81" s="376"/>
      <c r="E81" s="376"/>
      <c r="F81" s="569"/>
      <c r="G81" s="570"/>
      <c r="H81" s="376"/>
      <c r="I81" s="376"/>
    </row>
    <row r="82" spans="1:8" ht="44.25" customHeight="1">
      <c r="A82" s="378"/>
      <c r="B82" s="579" t="s">
        <v>118</v>
      </c>
      <c r="C82" s="579"/>
      <c r="D82" s="379"/>
      <c r="E82" s="379"/>
      <c r="F82" s="380"/>
      <c r="G82" s="457" t="s">
        <v>119</v>
      </c>
      <c r="H82" s="457"/>
    </row>
    <row r="83" spans="4:8" ht="15">
      <c r="D83" s="571" t="s">
        <v>8</v>
      </c>
      <c r="E83" s="571"/>
      <c r="G83" s="572" t="s">
        <v>34</v>
      </c>
      <c r="H83" s="572"/>
    </row>
    <row r="84" spans="1:8" ht="36" customHeight="1">
      <c r="A84" s="378"/>
      <c r="B84" s="576" t="s">
        <v>41</v>
      </c>
      <c r="C84" s="576"/>
      <c r="D84" s="379"/>
      <c r="E84" s="379"/>
      <c r="F84" s="380"/>
      <c r="G84" s="457" t="s">
        <v>42</v>
      </c>
      <c r="H84" s="457"/>
    </row>
    <row r="85" spans="1:8" ht="16.5">
      <c r="A85" s="381"/>
      <c r="B85" s="381"/>
      <c r="D85" s="571" t="s">
        <v>8</v>
      </c>
      <c r="E85" s="571"/>
      <c r="G85" s="572" t="s">
        <v>34</v>
      </c>
      <c r="H85" s="572"/>
    </row>
    <row r="86" ht="0.75" customHeight="1"/>
    <row r="87" spans="1:8" ht="36" customHeight="1">
      <c r="A87" s="378"/>
      <c r="B87" s="576"/>
      <c r="C87" s="576"/>
      <c r="D87" s="379"/>
      <c r="E87" s="379"/>
      <c r="F87" s="380"/>
      <c r="G87" s="457"/>
      <c r="H87" s="457"/>
    </row>
    <row r="88" spans="1:8" ht="16.5">
      <c r="A88" s="381"/>
      <c r="B88" s="381"/>
      <c r="D88" s="571"/>
      <c r="E88" s="571"/>
      <c r="G88" s="572"/>
      <c r="H88" s="572"/>
    </row>
  </sheetData>
  <sheetProtection/>
  <mergeCells count="90">
    <mergeCell ref="A7:H7"/>
    <mergeCell ref="G87:H87"/>
    <mergeCell ref="D88:E88"/>
    <mergeCell ref="G88:H88"/>
    <mergeCell ref="B87:C87"/>
    <mergeCell ref="B9:F9"/>
    <mergeCell ref="B10:F10"/>
    <mergeCell ref="G10:I10"/>
    <mergeCell ref="B12:F12"/>
    <mergeCell ref="B13:F13"/>
    <mergeCell ref="B15:F15"/>
    <mergeCell ref="B16:F16"/>
    <mergeCell ref="G16:I16"/>
    <mergeCell ref="B17:H17"/>
    <mergeCell ref="B19:H19"/>
    <mergeCell ref="A21:B22"/>
    <mergeCell ref="C21:C22"/>
    <mergeCell ref="D21:D22"/>
    <mergeCell ref="E21:E22"/>
    <mergeCell ref="F21:G21"/>
    <mergeCell ref="H21:H22"/>
    <mergeCell ref="A25:B25"/>
    <mergeCell ref="A26:B26"/>
    <mergeCell ref="A27:B27"/>
    <mergeCell ref="A24:B24"/>
    <mergeCell ref="A23:B23"/>
    <mergeCell ref="A36:B36"/>
    <mergeCell ref="F36:G36"/>
    <mergeCell ref="A37:B37"/>
    <mergeCell ref="F37:G37"/>
    <mergeCell ref="A38:B38"/>
    <mergeCell ref="F38:G38"/>
    <mergeCell ref="A39:B39"/>
    <mergeCell ref="F39:G39"/>
    <mergeCell ref="A40:B40"/>
    <mergeCell ref="F40:G40"/>
    <mergeCell ref="A41:B41"/>
    <mergeCell ref="F41:G41"/>
    <mergeCell ref="A42:B42"/>
    <mergeCell ref="F42:G42"/>
    <mergeCell ref="A43:B43"/>
    <mergeCell ref="F43:G43"/>
    <mergeCell ref="A44:B44"/>
    <mergeCell ref="F44:G44"/>
    <mergeCell ref="A45:B45"/>
    <mergeCell ref="F45:G45"/>
    <mergeCell ref="A46:B46"/>
    <mergeCell ref="F46:G46"/>
    <mergeCell ref="A47:B47"/>
    <mergeCell ref="F47:G47"/>
    <mergeCell ref="A49:H49"/>
    <mergeCell ref="B54:H54"/>
    <mergeCell ref="A56:A57"/>
    <mergeCell ref="B56:C57"/>
    <mergeCell ref="D56:E56"/>
    <mergeCell ref="F56:G56"/>
    <mergeCell ref="H56:H57"/>
    <mergeCell ref="B58:C58"/>
    <mergeCell ref="B59:C59"/>
    <mergeCell ref="B60:C60"/>
    <mergeCell ref="B61:C61"/>
    <mergeCell ref="B62:C62"/>
    <mergeCell ref="B63:C63"/>
    <mergeCell ref="A81:C81"/>
    <mergeCell ref="A67:B67"/>
    <mergeCell ref="A68:B68"/>
    <mergeCell ref="A69:B69"/>
    <mergeCell ref="A70:B70"/>
    <mergeCell ref="A71:B71"/>
    <mergeCell ref="A72:B72"/>
    <mergeCell ref="A28:B28"/>
    <mergeCell ref="A29:B29"/>
    <mergeCell ref="A30:B30"/>
    <mergeCell ref="A31:B31"/>
    <mergeCell ref="B82:C82"/>
    <mergeCell ref="A73:B73"/>
    <mergeCell ref="A74:B74"/>
    <mergeCell ref="A75:B75"/>
    <mergeCell ref="A76:B76"/>
    <mergeCell ref="A79:H79"/>
    <mergeCell ref="G82:H82"/>
    <mergeCell ref="F81:G81"/>
    <mergeCell ref="D85:E85"/>
    <mergeCell ref="G85:H85"/>
    <mergeCell ref="A32:B32"/>
    <mergeCell ref="A52:B52"/>
    <mergeCell ref="D83:E83"/>
    <mergeCell ref="G83:H83"/>
    <mergeCell ref="B84:C84"/>
    <mergeCell ref="G84:H84"/>
  </mergeCells>
  <printOptions horizontalCentered="1"/>
  <pageMargins left="0" right="0" top="0" bottom="0" header="0" footer="0"/>
  <pageSetup fitToHeight="2" horizontalDpi="600" verticalDpi="600" orientation="landscape" paperSize="9" scale="72" r:id="rId1"/>
  <rowBreaks count="1" manualBreakCount="1">
    <brk id="85" max="8" man="1"/>
  </rowBreaks>
</worksheet>
</file>

<file path=xl/worksheets/sheet13.xml><?xml version="1.0" encoding="utf-8"?>
<worksheet xmlns="http://schemas.openxmlformats.org/spreadsheetml/2006/main" xmlns:r="http://schemas.openxmlformats.org/officeDocument/2006/relationships">
  <sheetPr>
    <tabColor theme="3" tint="-0.24997000396251678"/>
  </sheetPr>
  <dimension ref="A2:N96"/>
  <sheetViews>
    <sheetView view="pageBreakPreview" zoomScaleSheetLayoutView="100" zoomScalePageLayoutView="0" workbookViewId="0" topLeftCell="A1">
      <selection activeCell="E56" sqref="E56"/>
    </sheetView>
  </sheetViews>
  <sheetFormatPr defaultColWidth="9.00390625" defaultRowHeight="15.75"/>
  <cols>
    <col min="1" max="1" width="9.25390625" style="37" customWidth="1"/>
    <col min="2" max="2" width="2.25390625" style="37" customWidth="1"/>
    <col min="3" max="3" width="33.25390625" style="37" customWidth="1"/>
    <col min="4" max="4" width="10.50390625" style="37" customWidth="1"/>
    <col min="5" max="5" width="23.125" style="37" customWidth="1"/>
    <col min="6" max="6" width="16.625" style="37" customWidth="1"/>
    <col min="7" max="7" width="13.50390625" style="37" customWidth="1"/>
    <col min="8" max="8" width="44.00390625" style="37" customWidth="1"/>
    <col min="9" max="9" width="14.50390625" style="37" customWidth="1"/>
    <col min="10" max="16384" width="9.00390625" style="59" customWidth="1"/>
  </cols>
  <sheetData>
    <row r="2" spans="8:11" ht="15">
      <c r="H2" s="37" t="s">
        <v>137</v>
      </c>
      <c r="J2" s="37"/>
      <c r="K2" s="37"/>
    </row>
    <row r="3" spans="8:11" ht="15">
      <c r="H3" s="37" t="s">
        <v>129</v>
      </c>
      <c r="J3" s="37"/>
      <c r="K3" s="37"/>
    </row>
    <row r="4" spans="8:11" ht="15">
      <c r="H4" s="37" t="s">
        <v>130</v>
      </c>
      <c r="J4" s="37"/>
      <c r="K4" s="37"/>
    </row>
    <row r="5" spans="10:11" ht="12" customHeight="1">
      <c r="J5" s="37"/>
      <c r="K5" s="37"/>
    </row>
    <row r="6" spans="10:11" ht="15" hidden="1">
      <c r="J6" s="37"/>
      <c r="K6" s="37"/>
    </row>
    <row r="7" spans="1:8" ht="25.5" customHeight="1" thickBot="1">
      <c r="A7" s="604" t="s">
        <v>437</v>
      </c>
      <c r="B7" s="604"/>
      <c r="C7" s="604"/>
      <c r="D7" s="604"/>
      <c r="E7" s="604"/>
      <c r="F7" s="604"/>
      <c r="G7" s="604"/>
      <c r="H7" s="604"/>
    </row>
    <row r="8" spans="1:8" ht="25.5" customHeight="1">
      <c r="A8" s="344"/>
      <c r="B8" s="344"/>
      <c r="C8" s="344"/>
      <c r="D8" s="344"/>
      <c r="E8" s="344"/>
      <c r="F8" s="344"/>
      <c r="G8" s="344"/>
      <c r="H8" s="344"/>
    </row>
    <row r="9" spans="1:14" s="37" customFormat="1" ht="15">
      <c r="A9" s="345" t="s">
        <v>16</v>
      </c>
      <c r="B9" s="457" t="s">
        <v>35</v>
      </c>
      <c r="C9" s="457"/>
      <c r="D9" s="457"/>
      <c r="E9" s="457"/>
      <c r="F9" s="457"/>
      <c r="G9" s="38"/>
      <c r="H9" s="31" t="s">
        <v>146</v>
      </c>
      <c r="I9" s="32"/>
      <c r="J9" s="33"/>
      <c r="K9" s="33"/>
      <c r="L9" s="346"/>
      <c r="M9" s="346"/>
      <c r="N9" s="346"/>
    </row>
    <row r="10" spans="1:14" s="172" customFormat="1" ht="18" customHeight="1">
      <c r="A10" s="347" t="s">
        <v>1</v>
      </c>
      <c r="B10" s="601" t="s">
        <v>45</v>
      </c>
      <c r="C10" s="601"/>
      <c r="D10" s="601"/>
      <c r="E10" s="601"/>
      <c r="F10" s="601"/>
      <c r="G10" s="601" t="s">
        <v>322</v>
      </c>
      <c r="H10" s="601"/>
      <c r="I10" s="601"/>
      <c r="J10" s="348"/>
      <c r="K10" s="348"/>
      <c r="L10" s="348"/>
      <c r="M10" s="348"/>
      <c r="N10" s="349"/>
    </row>
    <row r="11" spans="1:11" s="37" customFormat="1" ht="6" customHeight="1">
      <c r="A11" s="24"/>
      <c r="J11" s="59"/>
      <c r="K11" s="59"/>
    </row>
    <row r="12" spans="1:14" s="37" customFormat="1" ht="15">
      <c r="A12" s="345" t="s">
        <v>18</v>
      </c>
      <c r="B12" s="457" t="str">
        <f>B9</f>
        <v>Виконавчий комітет Сумської міської ради</v>
      </c>
      <c r="C12" s="457"/>
      <c r="D12" s="457"/>
      <c r="E12" s="457"/>
      <c r="F12" s="457"/>
      <c r="G12" s="350"/>
      <c r="H12" s="31" t="s">
        <v>147</v>
      </c>
      <c r="I12" s="350"/>
      <c r="J12" s="351"/>
      <c r="K12" s="33"/>
      <c r="L12" s="346"/>
      <c r="M12" s="346"/>
      <c r="N12" s="346"/>
    </row>
    <row r="13" spans="1:14" s="172" customFormat="1" ht="12.75">
      <c r="A13" s="347" t="s">
        <v>1</v>
      </c>
      <c r="B13" s="605" t="s">
        <v>503</v>
      </c>
      <c r="C13" s="605"/>
      <c r="D13" s="605"/>
      <c r="E13" s="605"/>
      <c r="F13" s="605"/>
      <c r="G13" s="352" t="s">
        <v>322</v>
      </c>
      <c r="H13" s="352"/>
      <c r="I13" s="352"/>
      <c r="J13" s="352"/>
      <c r="K13" s="352"/>
      <c r="L13" s="352"/>
      <c r="M13" s="352"/>
      <c r="N13" s="349"/>
    </row>
    <row r="14" s="37" customFormat="1" ht="9" customHeight="1">
      <c r="A14" s="24"/>
    </row>
    <row r="15" spans="1:14" s="37" customFormat="1" ht="15">
      <c r="A15" s="345" t="s">
        <v>21</v>
      </c>
      <c r="B15" s="457" t="s">
        <v>158</v>
      </c>
      <c r="C15" s="457"/>
      <c r="D15" s="457"/>
      <c r="E15" s="457"/>
      <c r="F15" s="457"/>
      <c r="G15" s="33"/>
      <c r="H15" s="31" t="s">
        <v>296</v>
      </c>
      <c r="I15" s="33"/>
      <c r="J15" s="351"/>
      <c r="K15" s="33"/>
      <c r="L15" s="346"/>
      <c r="M15" s="346"/>
      <c r="N15" s="346"/>
    </row>
    <row r="16" spans="1:14" s="172" customFormat="1" ht="51" customHeight="1">
      <c r="A16" s="347" t="s">
        <v>1</v>
      </c>
      <c r="B16" s="600" t="s">
        <v>462</v>
      </c>
      <c r="C16" s="600"/>
      <c r="D16" s="600"/>
      <c r="E16" s="600"/>
      <c r="F16" s="600"/>
      <c r="G16" s="601" t="s">
        <v>336</v>
      </c>
      <c r="H16" s="601"/>
      <c r="I16" s="601"/>
      <c r="J16" s="352"/>
      <c r="K16" s="352"/>
      <c r="L16" s="352"/>
      <c r="M16" s="352"/>
      <c r="N16" s="349"/>
    </row>
    <row r="17" spans="1:8" ht="15.75" customHeight="1">
      <c r="A17" s="353" t="s">
        <v>23</v>
      </c>
      <c r="B17" s="582" t="s">
        <v>438</v>
      </c>
      <c r="C17" s="582"/>
      <c r="D17" s="582"/>
      <c r="E17" s="582"/>
      <c r="F17" s="582"/>
      <c r="G17" s="582"/>
      <c r="H17" s="582"/>
    </row>
    <row r="18" spans="1:8" ht="15">
      <c r="A18" s="353"/>
      <c r="B18" s="353"/>
      <c r="C18" s="354"/>
      <c r="D18" s="354"/>
      <c r="E18" s="354"/>
      <c r="F18" s="354"/>
      <c r="G18" s="354"/>
      <c r="H18" s="354"/>
    </row>
    <row r="19" spans="1:8" ht="18" customHeight="1">
      <c r="A19" s="355" t="s">
        <v>334</v>
      </c>
      <c r="B19" s="582" t="s">
        <v>490</v>
      </c>
      <c r="C19" s="582"/>
      <c r="D19" s="582"/>
      <c r="E19" s="582"/>
      <c r="F19" s="582"/>
      <c r="G19" s="582"/>
      <c r="H19" s="582"/>
    </row>
    <row r="20" ht="15">
      <c r="H20" s="26" t="s">
        <v>70</v>
      </c>
    </row>
    <row r="21" spans="1:9" s="358" customFormat="1" ht="42.75" customHeight="1">
      <c r="A21" s="587" t="s">
        <v>421</v>
      </c>
      <c r="B21" s="602"/>
      <c r="C21" s="497" t="s">
        <v>44</v>
      </c>
      <c r="D21" s="591" t="s">
        <v>338</v>
      </c>
      <c r="E21" s="591" t="s">
        <v>339</v>
      </c>
      <c r="F21" s="584" t="s">
        <v>439</v>
      </c>
      <c r="G21" s="432"/>
      <c r="H21" s="591" t="s">
        <v>446</v>
      </c>
      <c r="I21" s="357"/>
    </row>
    <row r="22" spans="1:9" s="358" customFormat="1" ht="68.25" customHeight="1">
      <c r="A22" s="589"/>
      <c r="B22" s="603"/>
      <c r="C22" s="497"/>
      <c r="D22" s="592"/>
      <c r="E22" s="592"/>
      <c r="F22" s="17" t="s">
        <v>104</v>
      </c>
      <c r="G22" s="356" t="s">
        <v>85</v>
      </c>
      <c r="H22" s="592"/>
      <c r="I22" s="357"/>
    </row>
    <row r="23" spans="1:9" s="171" customFormat="1" ht="15.75" customHeight="1">
      <c r="A23" s="593">
        <v>1</v>
      </c>
      <c r="B23" s="594"/>
      <c r="C23" s="359">
        <v>2</v>
      </c>
      <c r="D23" s="359">
        <v>3</v>
      </c>
      <c r="E23" s="359">
        <v>4</v>
      </c>
      <c r="F23" s="359">
        <v>5</v>
      </c>
      <c r="G23" s="359">
        <v>6</v>
      </c>
      <c r="H23" s="359">
        <v>7</v>
      </c>
      <c r="I23" s="360"/>
    </row>
    <row r="24" spans="1:9" s="365" customFormat="1" ht="27" customHeight="1">
      <c r="A24" s="598"/>
      <c r="B24" s="599"/>
      <c r="C24" s="361" t="s">
        <v>158</v>
      </c>
      <c r="D24" s="362"/>
      <c r="E24" s="362"/>
      <c r="F24" s="362"/>
      <c r="G24" s="363"/>
      <c r="H24" s="363"/>
      <c r="I24" s="364"/>
    </row>
    <row r="25" spans="1:9" s="171" customFormat="1" ht="30" customHeight="1">
      <c r="A25" s="584">
        <v>2210</v>
      </c>
      <c r="B25" s="432"/>
      <c r="C25" s="272" t="s">
        <v>93</v>
      </c>
      <c r="D25" s="178">
        <f>'2019-2(6.1;6.2;6.3,6.4)'!D7</f>
        <v>35000</v>
      </c>
      <c r="E25" s="178">
        <f>'2019-2(6.1;6.2;6.3,6.4)'!H7</f>
        <v>1044300</v>
      </c>
      <c r="F25" s="178">
        <f>'2019-2(6.1;6.2;6.3,6.4)'!L7</f>
        <v>478000</v>
      </c>
      <c r="G25" s="405">
        <v>130000</v>
      </c>
      <c r="H25" s="408" t="s">
        <v>499</v>
      </c>
      <c r="I25" s="360"/>
    </row>
    <row r="26" spans="1:9" s="171" customFormat="1" ht="147" customHeight="1">
      <c r="A26" s="584">
        <v>2240</v>
      </c>
      <c r="B26" s="432"/>
      <c r="C26" s="272" t="s">
        <v>149</v>
      </c>
      <c r="D26" s="178">
        <f>'2019-2(6.1;6.2;6.3,6.4)'!D8</f>
        <v>162608.58</v>
      </c>
      <c r="E26" s="178">
        <f>'2019-2(6.1;6.2;6.3,6.4)'!H8</f>
        <v>7752990</v>
      </c>
      <c r="F26" s="178">
        <f>'2019-2(6.1;6.2;6.3,6.4)'!L8</f>
        <v>9585860</v>
      </c>
      <c r="G26" s="168">
        <v>3131360</v>
      </c>
      <c r="H26" s="409" t="s">
        <v>498</v>
      </c>
      <c r="I26" s="360"/>
    </row>
    <row r="27" spans="1:9" s="171" customFormat="1" ht="31.5" customHeight="1">
      <c r="A27" s="584">
        <v>2610</v>
      </c>
      <c r="B27" s="432"/>
      <c r="C27" s="272" t="s">
        <v>155</v>
      </c>
      <c r="D27" s="178">
        <f>'2019-2(6.1;6.2;6.3,6.4)'!D9</f>
        <v>3081327.7</v>
      </c>
      <c r="E27" s="178">
        <f>'2019-2(6.1;6.2;6.3,6.4)'!H9</f>
        <v>0</v>
      </c>
      <c r="F27" s="178"/>
      <c r="G27" s="406"/>
      <c r="H27" s="359"/>
      <c r="I27" s="360"/>
    </row>
    <row r="28" spans="1:9" s="399" customFormat="1" ht="30.75" customHeight="1" hidden="1">
      <c r="A28" s="577">
        <v>3110</v>
      </c>
      <c r="B28" s="578"/>
      <c r="C28" s="394" t="s">
        <v>94</v>
      </c>
      <c r="D28" s="395"/>
      <c r="E28" s="395"/>
      <c r="F28" s="395"/>
      <c r="G28" s="407"/>
      <c r="H28" s="397"/>
      <c r="I28" s="398"/>
    </row>
    <row r="29" spans="1:9" s="399" customFormat="1" ht="30.75" customHeight="1" hidden="1">
      <c r="A29" s="577">
        <v>3122</v>
      </c>
      <c r="B29" s="578"/>
      <c r="C29" s="394" t="s">
        <v>284</v>
      </c>
      <c r="D29" s="395"/>
      <c r="E29" s="395"/>
      <c r="F29" s="395"/>
      <c r="G29" s="407"/>
      <c r="H29" s="397"/>
      <c r="I29" s="398"/>
    </row>
    <row r="30" spans="1:9" s="399" customFormat="1" ht="24" customHeight="1" hidden="1">
      <c r="A30" s="577">
        <v>3132</v>
      </c>
      <c r="B30" s="578"/>
      <c r="C30" s="394" t="s">
        <v>256</v>
      </c>
      <c r="D30" s="395"/>
      <c r="E30" s="395"/>
      <c r="F30" s="395"/>
      <c r="G30" s="407"/>
      <c r="H30" s="397"/>
      <c r="I30" s="398"/>
    </row>
    <row r="31" spans="1:9" s="399" customFormat="1" ht="30.75" customHeight="1" hidden="1">
      <c r="A31" s="577">
        <v>3210</v>
      </c>
      <c r="B31" s="578"/>
      <c r="C31" s="394" t="s">
        <v>156</v>
      </c>
      <c r="D31" s="395"/>
      <c r="E31" s="395"/>
      <c r="F31" s="395"/>
      <c r="G31" s="407"/>
      <c r="H31" s="397"/>
      <c r="I31" s="398"/>
    </row>
    <row r="32" spans="1:9" s="171" customFormat="1" ht="15.75" customHeight="1">
      <c r="A32" s="573"/>
      <c r="B32" s="573"/>
      <c r="C32" s="366" t="s">
        <v>331</v>
      </c>
      <c r="D32" s="170">
        <f>D25+D26+D31+D27</f>
        <v>3278936.2800000003</v>
      </c>
      <c r="E32" s="170">
        <f>E25+E26+E27+E28+E29+E30+E31</f>
        <v>8797290</v>
      </c>
      <c r="F32" s="170">
        <f>F25+F26+F27+F28+F29+F30+F31</f>
        <v>10063860</v>
      </c>
      <c r="G32" s="406">
        <f>G25+G26</f>
        <v>3261360</v>
      </c>
      <c r="H32" s="359"/>
      <c r="I32" s="360"/>
    </row>
    <row r="34" spans="1:9" s="368" customFormat="1" ht="13.5" customHeight="1">
      <c r="A34" s="24" t="s">
        <v>105</v>
      </c>
      <c r="B34" s="24"/>
      <c r="C34" s="367"/>
      <c r="D34" s="367"/>
      <c r="E34" s="367"/>
      <c r="F34" s="367"/>
      <c r="G34" s="367"/>
      <c r="H34" s="367"/>
      <c r="I34" s="24"/>
    </row>
    <row r="36" spans="1:8" ht="29.25" customHeight="1">
      <c r="A36" s="584" t="s">
        <v>24</v>
      </c>
      <c r="B36" s="432"/>
      <c r="C36" s="17" t="s">
        <v>84</v>
      </c>
      <c r="D36" s="17" t="s">
        <v>49</v>
      </c>
      <c r="E36" s="17" t="s">
        <v>50</v>
      </c>
      <c r="F36" s="497" t="s">
        <v>440</v>
      </c>
      <c r="G36" s="497"/>
      <c r="H36" s="17" t="s">
        <v>447</v>
      </c>
    </row>
    <row r="37" spans="1:9" s="365" customFormat="1" ht="15">
      <c r="A37" s="593">
        <v>1</v>
      </c>
      <c r="B37" s="594"/>
      <c r="C37" s="359">
        <v>2</v>
      </c>
      <c r="D37" s="359">
        <v>3</v>
      </c>
      <c r="E37" s="359">
        <v>4</v>
      </c>
      <c r="F37" s="597">
        <v>5</v>
      </c>
      <c r="G37" s="597"/>
      <c r="H37" s="359">
        <v>6</v>
      </c>
      <c r="I37" s="364"/>
    </row>
    <row r="38" spans="1:9" s="365" customFormat="1" ht="48">
      <c r="A38" s="593"/>
      <c r="B38" s="594"/>
      <c r="C38" s="412" t="s">
        <v>267</v>
      </c>
      <c r="D38" s="359"/>
      <c r="E38" s="359"/>
      <c r="F38" s="595"/>
      <c r="G38" s="596"/>
      <c r="H38" s="359"/>
      <c r="I38" s="364"/>
    </row>
    <row r="39" spans="1:9" s="365" customFormat="1" ht="15">
      <c r="A39" s="593"/>
      <c r="B39" s="594"/>
      <c r="C39" s="410" t="s">
        <v>52</v>
      </c>
      <c r="D39" s="359"/>
      <c r="E39" s="359"/>
      <c r="F39" s="595"/>
      <c r="G39" s="596"/>
      <c r="H39" s="359"/>
      <c r="I39" s="364"/>
    </row>
    <row r="40" spans="1:9" s="365" customFormat="1" ht="27">
      <c r="A40" s="593"/>
      <c r="B40" s="594"/>
      <c r="C40" s="369" t="s">
        <v>501</v>
      </c>
      <c r="D40" s="359" t="s">
        <v>63</v>
      </c>
      <c r="E40" s="408" t="s">
        <v>317</v>
      </c>
      <c r="F40" s="595">
        <v>0</v>
      </c>
      <c r="G40" s="596"/>
      <c r="H40" s="359">
        <v>110000</v>
      </c>
      <c r="I40" s="364"/>
    </row>
    <row r="41" spans="1:8" ht="15">
      <c r="A41" s="593"/>
      <c r="B41" s="594"/>
      <c r="C41" s="410" t="s">
        <v>53</v>
      </c>
      <c r="D41" s="109"/>
      <c r="E41" s="109"/>
      <c r="F41" s="595"/>
      <c r="G41" s="596"/>
      <c r="H41" s="109"/>
    </row>
    <row r="42" spans="1:9" s="365" customFormat="1" ht="84">
      <c r="A42" s="593"/>
      <c r="B42" s="594"/>
      <c r="C42" s="369" t="s">
        <v>268</v>
      </c>
      <c r="D42" s="359" t="s">
        <v>500</v>
      </c>
      <c r="E42" s="409" t="s">
        <v>319</v>
      </c>
      <c r="F42" s="595">
        <v>0</v>
      </c>
      <c r="G42" s="596"/>
      <c r="H42" s="359">
        <v>2</v>
      </c>
      <c r="I42" s="364"/>
    </row>
    <row r="43" spans="1:8" ht="15" hidden="1">
      <c r="A43" s="593"/>
      <c r="B43" s="594"/>
      <c r="C43" s="369" t="s">
        <v>86</v>
      </c>
      <c r="D43" s="109"/>
      <c r="E43" s="109"/>
      <c r="F43" s="595"/>
      <c r="G43" s="596"/>
      <c r="H43" s="109"/>
    </row>
    <row r="44" spans="1:8" ht="15">
      <c r="A44" s="593"/>
      <c r="B44" s="594"/>
      <c r="C44" s="410" t="s">
        <v>54</v>
      </c>
      <c r="D44" s="109"/>
      <c r="E44" s="109"/>
      <c r="F44" s="595"/>
      <c r="G44" s="596"/>
      <c r="H44" s="109"/>
    </row>
    <row r="45" spans="1:8" ht="15">
      <c r="A45" s="593"/>
      <c r="B45" s="594"/>
      <c r="C45" s="369" t="s">
        <v>269</v>
      </c>
      <c r="D45" s="359" t="s">
        <v>63</v>
      </c>
      <c r="E45" s="411" t="s">
        <v>109</v>
      </c>
      <c r="F45" s="595">
        <v>0</v>
      </c>
      <c r="G45" s="596"/>
      <c r="H45" s="359">
        <f>H40/H42</f>
        <v>55000</v>
      </c>
    </row>
    <row r="46" spans="1:8" ht="24">
      <c r="A46" s="401"/>
      <c r="B46" s="402"/>
      <c r="C46" s="412" t="s">
        <v>377</v>
      </c>
      <c r="D46" s="359"/>
      <c r="E46" s="411"/>
      <c r="F46" s="403"/>
      <c r="G46" s="404"/>
      <c r="H46" s="359"/>
    </row>
    <row r="47" spans="1:9" s="365" customFormat="1" ht="15">
      <c r="A47" s="593"/>
      <c r="B47" s="594"/>
      <c r="C47" s="410" t="s">
        <v>52</v>
      </c>
      <c r="D47" s="359"/>
      <c r="E47" s="359"/>
      <c r="F47" s="595"/>
      <c r="G47" s="596"/>
      <c r="H47" s="359"/>
      <c r="I47" s="364"/>
    </row>
    <row r="48" spans="1:9" s="365" customFormat="1" ht="27">
      <c r="A48" s="593"/>
      <c r="B48" s="594"/>
      <c r="C48" s="369" t="s">
        <v>501</v>
      </c>
      <c r="D48" s="359" t="s">
        <v>63</v>
      </c>
      <c r="E48" s="408" t="s">
        <v>317</v>
      </c>
      <c r="F48" s="593">
        <f>217500+435000</f>
        <v>652500</v>
      </c>
      <c r="G48" s="594"/>
      <c r="H48" s="359">
        <f>347500+705000</f>
        <v>1052500</v>
      </c>
      <c r="I48" s="364"/>
    </row>
    <row r="49" spans="1:8" ht="15">
      <c r="A49" s="593"/>
      <c r="B49" s="594"/>
      <c r="C49" s="410" t="s">
        <v>53</v>
      </c>
      <c r="D49" s="109"/>
      <c r="E49" s="109"/>
      <c r="F49" s="595"/>
      <c r="G49" s="596"/>
      <c r="H49" s="109"/>
    </row>
    <row r="50" spans="1:9" s="365" customFormat="1" ht="84">
      <c r="A50" s="593"/>
      <c r="B50" s="594"/>
      <c r="C50" s="369" t="s">
        <v>502</v>
      </c>
      <c r="D50" s="359" t="s">
        <v>500</v>
      </c>
      <c r="E50" s="409" t="s">
        <v>319</v>
      </c>
      <c r="F50" s="593"/>
      <c r="G50" s="594"/>
      <c r="H50" s="359">
        <v>2</v>
      </c>
      <c r="I50" s="364"/>
    </row>
    <row r="51" spans="1:8" ht="15" hidden="1">
      <c r="A51" s="593"/>
      <c r="B51" s="594"/>
      <c r="C51" s="369" t="s">
        <v>86</v>
      </c>
      <c r="D51" s="109"/>
      <c r="E51" s="109"/>
      <c r="F51" s="595"/>
      <c r="G51" s="596"/>
      <c r="H51" s="109"/>
    </row>
    <row r="52" spans="1:8" ht="15">
      <c r="A52" s="593"/>
      <c r="B52" s="594"/>
      <c r="C52" s="410" t="s">
        <v>54</v>
      </c>
      <c r="D52" s="109"/>
      <c r="E52" s="109"/>
      <c r="F52" s="595"/>
      <c r="G52" s="596"/>
      <c r="H52" s="109"/>
    </row>
    <row r="53" spans="1:8" ht="24">
      <c r="A53" s="593"/>
      <c r="B53" s="594"/>
      <c r="C53" s="369" t="s">
        <v>378</v>
      </c>
      <c r="D53" s="359" t="s">
        <v>63</v>
      </c>
      <c r="E53" s="411" t="s">
        <v>109</v>
      </c>
      <c r="F53" s="595">
        <v>0</v>
      </c>
      <c r="G53" s="596"/>
      <c r="H53" s="359">
        <f>H48/H50</f>
        <v>526250</v>
      </c>
    </row>
    <row r="54" spans="1:8" ht="15">
      <c r="A54" s="593"/>
      <c r="B54" s="594"/>
      <c r="C54" s="369" t="s">
        <v>55</v>
      </c>
      <c r="D54" s="109"/>
      <c r="E54" s="109"/>
      <c r="F54" s="595"/>
      <c r="G54" s="596"/>
      <c r="H54" s="109"/>
    </row>
    <row r="55" spans="1:8" ht="15">
      <c r="A55" s="593"/>
      <c r="B55" s="594"/>
      <c r="C55" s="369" t="s">
        <v>86</v>
      </c>
      <c r="D55" s="109"/>
      <c r="E55" s="109"/>
      <c r="F55" s="595"/>
      <c r="G55" s="596"/>
      <c r="H55" s="109"/>
    </row>
    <row r="57" spans="1:9" s="368" customFormat="1" ht="30" customHeight="1">
      <c r="A57" s="582" t="s">
        <v>470</v>
      </c>
      <c r="B57" s="582"/>
      <c r="C57" s="582"/>
      <c r="D57" s="582"/>
      <c r="E57" s="582"/>
      <c r="F57" s="582"/>
      <c r="G57" s="582"/>
      <c r="H57" s="582"/>
      <c r="I57" s="24"/>
    </row>
    <row r="58" spans="3:8" ht="13.5" customHeight="1">
      <c r="C58" s="367"/>
      <c r="D58" s="367"/>
      <c r="E58" s="367"/>
      <c r="F58" s="367"/>
      <c r="G58" s="367"/>
      <c r="H58" s="367"/>
    </row>
    <row r="59" spans="3:9" ht="13.5" customHeight="1">
      <c r="C59" s="367"/>
      <c r="D59" s="367"/>
      <c r="E59" s="367"/>
      <c r="F59" s="367"/>
      <c r="G59" s="367"/>
      <c r="H59" s="59"/>
      <c r="I59" s="152"/>
    </row>
    <row r="60" spans="1:9" ht="13.5" customHeight="1">
      <c r="A60" s="574" t="s">
        <v>331</v>
      </c>
      <c r="B60" s="575"/>
      <c r="C60" s="370"/>
      <c r="D60" s="369"/>
      <c r="E60" s="369"/>
      <c r="F60" s="369"/>
      <c r="G60" s="369"/>
      <c r="H60" s="369"/>
      <c r="I60" s="154"/>
    </row>
    <row r="61" spans="3:8" ht="13.5" customHeight="1">
      <c r="C61" s="367"/>
      <c r="D61" s="367"/>
      <c r="E61" s="367"/>
      <c r="F61" s="367"/>
      <c r="G61" s="367"/>
      <c r="H61" s="367"/>
    </row>
    <row r="62" spans="1:8" ht="15" customHeight="1">
      <c r="A62" s="355" t="s">
        <v>335</v>
      </c>
      <c r="B62" s="582" t="s">
        <v>491</v>
      </c>
      <c r="C62" s="582"/>
      <c r="D62" s="582"/>
      <c r="E62" s="582"/>
      <c r="F62" s="582"/>
      <c r="G62" s="582"/>
      <c r="H62" s="582"/>
    </row>
    <row r="63" spans="3:8" ht="13.5" customHeight="1">
      <c r="C63" s="367"/>
      <c r="D63" s="367"/>
      <c r="E63" s="367"/>
      <c r="F63" s="367"/>
      <c r="G63" s="367"/>
      <c r="H63" s="26" t="s">
        <v>70</v>
      </c>
    </row>
    <row r="64" spans="1:8" ht="32.25" customHeight="1">
      <c r="A64" s="497" t="s">
        <v>14</v>
      </c>
      <c r="B64" s="587" t="s">
        <v>44</v>
      </c>
      <c r="C64" s="588"/>
      <c r="D64" s="497" t="s">
        <v>142</v>
      </c>
      <c r="E64" s="497"/>
      <c r="F64" s="497" t="s">
        <v>441</v>
      </c>
      <c r="G64" s="497"/>
      <c r="H64" s="591" t="s">
        <v>442</v>
      </c>
    </row>
    <row r="65" spans="1:8" ht="39" customHeight="1">
      <c r="A65" s="497"/>
      <c r="B65" s="589"/>
      <c r="C65" s="590"/>
      <c r="D65" s="17" t="s">
        <v>88</v>
      </c>
      <c r="E65" s="74" t="s">
        <v>443</v>
      </c>
      <c r="F65" s="17" t="s">
        <v>88</v>
      </c>
      <c r="G65" s="74" t="s">
        <v>443</v>
      </c>
      <c r="H65" s="592"/>
    </row>
    <row r="66" spans="1:8" ht="13.5" customHeight="1">
      <c r="A66" s="17">
        <v>1</v>
      </c>
      <c r="B66" s="584">
        <v>2</v>
      </c>
      <c r="C66" s="432"/>
      <c r="D66" s="17">
        <v>3</v>
      </c>
      <c r="E66" s="17">
        <v>4</v>
      </c>
      <c r="F66" s="17">
        <v>5</v>
      </c>
      <c r="G66" s="17">
        <v>6</v>
      </c>
      <c r="H66" s="17">
        <v>7</v>
      </c>
    </row>
    <row r="67" spans="1:8" ht="13.5" customHeight="1">
      <c r="A67" s="286"/>
      <c r="B67" s="585"/>
      <c r="C67" s="586"/>
      <c r="D67" s="17"/>
      <c r="E67" s="17"/>
      <c r="F67" s="17"/>
      <c r="G67" s="17"/>
      <c r="H67" s="17"/>
    </row>
    <row r="68" spans="1:8" ht="13.5" customHeight="1">
      <c r="A68" s="286"/>
      <c r="B68" s="585"/>
      <c r="C68" s="586"/>
      <c r="D68" s="17"/>
      <c r="E68" s="17"/>
      <c r="F68" s="17"/>
      <c r="G68" s="17"/>
      <c r="H68" s="17"/>
    </row>
    <row r="69" spans="1:8" ht="13.5" customHeight="1">
      <c r="A69" s="286"/>
      <c r="B69" s="585"/>
      <c r="C69" s="586"/>
      <c r="D69" s="17"/>
      <c r="E69" s="17"/>
      <c r="F69" s="17"/>
      <c r="G69" s="17"/>
      <c r="H69" s="17"/>
    </row>
    <row r="70" spans="1:8" ht="13.5" customHeight="1">
      <c r="A70" s="286"/>
      <c r="B70" s="585"/>
      <c r="C70" s="586"/>
      <c r="D70" s="17"/>
      <c r="E70" s="17"/>
      <c r="F70" s="17"/>
      <c r="G70" s="17"/>
      <c r="H70" s="17"/>
    </row>
    <row r="71" spans="1:8" ht="13.5" customHeight="1">
      <c r="A71" s="286"/>
      <c r="B71" s="585"/>
      <c r="C71" s="586"/>
      <c r="D71" s="17"/>
      <c r="E71" s="17"/>
      <c r="F71" s="17"/>
      <c r="G71" s="17"/>
      <c r="H71" s="17"/>
    </row>
    <row r="72" spans="3:8" ht="13.5" customHeight="1">
      <c r="C72" s="367"/>
      <c r="D72" s="367"/>
      <c r="E72" s="367"/>
      <c r="F72" s="367"/>
      <c r="G72" s="367"/>
      <c r="H72" s="367"/>
    </row>
    <row r="73" spans="1:9" s="368" customFormat="1" ht="13.5" customHeight="1">
      <c r="A73" s="24" t="s">
        <v>492</v>
      </c>
      <c r="B73" s="24"/>
      <c r="C73" s="367"/>
      <c r="D73" s="367"/>
      <c r="E73" s="367"/>
      <c r="F73" s="367"/>
      <c r="G73" s="367"/>
      <c r="H73" s="367"/>
      <c r="I73" s="24"/>
    </row>
    <row r="74" spans="1:8" ht="13.5" customHeight="1">
      <c r="A74" s="371"/>
      <c r="B74" s="371"/>
      <c r="C74" s="367"/>
      <c r="D74" s="367"/>
      <c r="E74" s="367"/>
      <c r="F74" s="367"/>
      <c r="G74" s="367"/>
      <c r="H74" s="367"/>
    </row>
    <row r="75" spans="1:9" ht="73.5" customHeight="1">
      <c r="A75" s="580" t="s">
        <v>24</v>
      </c>
      <c r="B75" s="581"/>
      <c r="C75" s="372" t="s">
        <v>84</v>
      </c>
      <c r="D75" s="372" t="s">
        <v>49</v>
      </c>
      <c r="E75" s="372" t="s">
        <v>50</v>
      </c>
      <c r="F75" s="372" t="s">
        <v>143</v>
      </c>
      <c r="G75" s="372" t="s">
        <v>144</v>
      </c>
      <c r="H75" s="372" t="s">
        <v>444</v>
      </c>
      <c r="I75" s="372" t="s">
        <v>445</v>
      </c>
    </row>
    <row r="76" spans="1:9" ht="13.5" customHeight="1">
      <c r="A76" s="580">
        <v>1</v>
      </c>
      <c r="B76" s="581"/>
      <c r="C76" s="372">
        <v>2</v>
      </c>
      <c r="D76" s="372">
        <v>3</v>
      </c>
      <c r="E76" s="372">
        <v>4</v>
      </c>
      <c r="F76" s="372">
        <v>5</v>
      </c>
      <c r="G76" s="372">
        <v>6</v>
      </c>
      <c r="H76" s="372">
        <v>7</v>
      </c>
      <c r="I76" s="372">
        <v>8</v>
      </c>
    </row>
    <row r="77" spans="1:9" ht="13.5" customHeight="1">
      <c r="A77" s="580"/>
      <c r="B77" s="581"/>
      <c r="C77" s="373" t="s">
        <v>52</v>
      </c>
      <c r="D77" s="374"/>
      <c r="E77" s="374"/>
      <c r="F77" s="374"/>
      <c r="G77" s="374"/>
      <c r="H77" s="374"/>
      <c r="I77" s="374"/>
    </row>
    <row r="78" spans="1:9" ht="13.5" customHeight="1">
      <c r="A78" s="580"/>
      <c r="B78" s="581"/>
      <c r="C78" s="373" t="s">
        <v>86</v>
      </c>
      <c r="D78" s="374"/>
      <c r="E78" s="374"/>
      <c r="F78" s="374"/>
      <c r="G78" s="374"/>
      <c r="H78" s="374"/>
      <c r="I78" s="374"/>
    </row>
    <row r="79" spans="1:9" ht="13.5" customHeight="1">
      <c r="A79" s="580"/>
      <c r="B79" s="581"/>
      <c r="C79" s="373" t="s">
        <v>53</v>
      </c>
      <c r="D79" s="374"/>
      <c r="E79" s="374"/>
      <c r="F79" s="374"/>
      <c r="G79" s="374"/>
      <c r="H79" s="374"/>
      <c r="I79" s="374"/>
    </row>
    <row r="80" spans="1:9" ht="13.5" customHeight="1">
      <c r="A80" s="580"/>
      <c r="B80" s="581"/>
      <c r="C80" s="373" t="s">
        <v>86</v>
      </c>
      <c r="D80" s="374"/>
      <c r="E80" s="374"/>
      <c r="F80" s="374"/>
      <c r="G80" s="374"/>
      <c r="H80" s="374"/>
      <c r="I80" s="374"/>
    </row>
    <row r="81" spans="1:9" ht="13.5" customHeight="1">
      <c r="A81" s="580"/>
      <c r="B81" s="581"/>
      <c r="C81" s="373" t="s">
        <v>54</v>
      </c>
      <c r="D81" s="374"/>
      <c r="E81" s="374"/>
      <c r="F81" s="374"/>
      <c r="G81" s="374"/>
      <c r="H81" s="374"/>
      <c r="I81" s="374"/>
    </row>
    <row r="82" spans="1:9" ht="13.5" customHeight="1">
      <c r="A82" s="580"/>
      <c r="B82" s="581"/>
      <c r="C82" s="373" t="s">
        <v>86</v>
      </c>
      <c r="D82" s="374"/>
      <c r="E82" s="374"/>
      <c r="F82" s="374"/>
      <c r="G82" s="374"/>
      <c r="H82" s="374"/>
      <c r="I82" s="374"/>
    </row>
    <row r="83" spans="1:9" ht="13.5" customHeight="1">
      <c r="A83" s="580"/>
      <c r="B83" s="581"/>
      <c r="C83" s="373" t="s">
        <v>55</v>
      </c>
      <c r="D83" s="374"/>
      <c r="E83" s="374"/>
      <c r="F83" s="374"/>
      <c r="G83" s="374"/>
      <c r="H83" s="374"/>
      <c r="I83" s="374"/>
    </row>
    <row r="84" spans="1:9" ht="13.5" customHeight="1">
      <c r="A84" s="580"/>
      <c r="B84" s="581"/>
      <c r="C84" s="373" t="s">
        <v>86</v>
      </c>
      <c r="D84" s="374"/>
      <c r="E84" s="374"/>
      <c r="F84" s="374"/>
      <c r="G84" s="374"/>
      <c r="H84" s="374"/>
      <c r="I84" s="374"/>
    </row>
    <row r="85" spans="1:2" ht="13.5" customHeight="1">
      <c r="A85" s="375"/>
      <c r="B85" s="375"/>
    </row>
    <row r="86" spans="1:2" ht="6" customHeight="1">
      <c r="A86" s="375"/>
      <c r="B86" s="375"/>
    </row>
    <row r="87" spans="1:8" ht="29.25" customHeight="1">
      <c r="A87" s="582" t="s">
        <v>493</v>
      </c>
      <c r="B87" s="582"/>
      <c r="C87" s="582"/>
      <c r="D87" s="582"/>
      <c r="E87" s="582"/>
      <c r="F87" s="582"/>
      <c r="G87" s="582"/>
      <c r="H87" s="582"/>
    </row>
    <row r="88" spans="1:8" ht="17.25" customHeight="1">
      <c r="A88" s="354"/>
      <c r="B88" s="354"/>
      <c r="C88" s="354"/>
      <c r="D88" s="354"/>
      <c r="E88" s="354"/>
      <c r="F88" s="354"/>
      <c r="G88" s="354"/>
      <c r="H88" s="354"/>
    </row>
    <row r="89" spans="1:9" s="377" customFormat="1" ht="13.5" customHeight="1">
      <c r="A89" s="583" t="s">
        <v>331</v>
      </c>
      <c r="B89" s="583"/>
      <c r="C89" s="583"/>
      <c r="D89" s="376"/>
      <c r="E89" s="376"/>
      <c r="F89" s="569"/>
      <c r="G89" s="570"/>
      <c r="H89" s="376"/>
      <c r="I89" s="376"/>
    </row>
    <row r="90" spans="1:8" ht="44.25" customHeight="1">
      <c r="A90" s="378"/>
      <c r="B90" s="579" t="s">
        <v>118</v>
      </c>
      <c r="C90" s="579"/>
      <c r="D90" s="379"/>
      <c r="E90" s="379"/>
      <c r="F90" s="380"/>
      <c r="G90" s="457" t="s">
        <v>119</v>
      </c>
      <c r="H90" s="457"/>
    </row>
    <row r="91" spans="4:8" ht="15">
      <c r="D91" s="571" t="s">
        <v>8</v>
      </c>
      <c r="E91" s="571"/>
      <c r="G91" s="572" t="s">
        <v>34</v>
      </c>
      <c r="H91" s="572"/>
    </row>
    <row r="92" spans="1:8" ht="36" customHeight="1">
      <c r="A92" s="378"/>
      <c r="B92" s="576" t="s">
        <v>41</v>
      </c>
      <c r="C92" s="576"/>
      <c r="D92" s="379"/>
      <c r="E92" s="379"/>
      <c r="F92" s="380"/>
      <c r="G92" s="457" t="s">
        <v>42</v>
      </c>
      <c r="H92" s="457"/>
    </row>
    <row r="93" spans="1:8" ht="16.5">
      <c r="A93" s="381"/>
      <c r="B93" s="381"/>
      <c r="D93" s="571" t="s">
        <v>8</v>
      </c>
      <c r="E93" s="571"/>
      <c r="G93" s="572" t="s">
        <v>34</v>
      </c>
      <c r="H93" s="572"/>
    </row>
    <row r="94" ht="0.75" customHeight="1"/>
    <row r="95" spans="1:8" ht="36" customHeight="1">
      <c r="A95" s="378"/>
      <c r="B95" s="576"/>
      <c r="C95" s="576"/>
      <c r="D95" s="379"/>
      <c r="E95" s="379"/>
      <c r="F95" s="380"/>
      <c r="G95" s="457"/>
      <c r="H95" s="457"/>
    </row>
    <row r="96" spans="1:8" ht="16.5">
      <c r="A96" s="381"/>
      <c r="B96" s="381"/>
      <c r="D96" s="571"/>
      <c r="E96" s="571"/>
      <c r="G96" s="572"/>
      <c r="H96" s="572"/>
    </row>
  </sheetData>
  <sheetProtection/>
  <mergeCells count="104">
    <mergeCell ref="D93:E93"/>
    <mergeCell ref="G93:H93"/>
    <mergeCell ref="B95:C95"/>
    <mergeCell ref="G95:H95"/>
    <mergeCell ref="D96:E96"/>
    <mergeCell ref="G96:H96"/>
    <mergeCell ref="B90:C90"/>
    <mergeCell ref="G90:H90"/>
    <mergeCell ref="D91:E91"/>
    <mergeCell ref="G91:H91"/>
    <mergeCell ref="B92:C92"/>
    <mergeCell ref="G92:H92"/>
    <mergeCell ref="A81:B81"/>
    <mergeCell ref="A82:B82"/>
    <mergeCell ref="A83:B83"/>
    <mergeCell ref="A84:B84"/>
    <mergeCell ref="A87:H87"/>
    <mergeCell ref="A89:C89"/>
    <mergeCell ref="F89:G89"/>
    <mergeCell ref="A75:B75"/>
    <mergeCell ref="A76:B76"/>
    <mergeCell ref="A77:B77"/>
    <mergeCell ref="A78:B78"/>
    <mergeCell ref="A79:B79"/>
    <mergeCell ref="A80:B80"/>
    <mergeCell ref="B66:C66"/>
    <mergeCell ref="B67:C67"/>
    <mergeCell ref="B68:C68"/>
    <mergeCell ref="B69:C69"/>
    <mergeCell ref="B70:C70"/>
    <mergeCell ref="B71:C71"/>
    <mergeCell ref="B62:H62"/>
    <mergeCell ref="A64:A65"/>
    <mergeCell ref="B64:C65"/>
    <mergeCell ref="D64:E64"/>
    <mergeCell ref="F64:G64"/>
    <mergeCell ref="H64:H65"/>
    <mergeCell ref="A54:B54"/>
    <mergeCell ref="F54:G54"/>
    <mergeCell ref="A55:B55"/>
    <mergeCell ref="F55:G55"/>
    <mergeCell ref="A57:H57"/>
    <mergeCell ref="A60:B60"/>
    <mergeCell ref="A43:B43"/>
    <mergeCell ref="F43:G43"/>
    <mergeCell ref="A44:B44"/>
    <mergeCell ref="F44:G44"/>
    <mergeCell ref="A45:B45"/>
    <mergeCell ref="F45:G45"/>
    <mergeCell ref="A40:B40"/>
    <mergeCell ref="F40:G40"/>
    <mergeCell ref="A42:B42"/>
    <mergeCell ref="F42:G42"/>
    <mergeCell ref="A41:B41"/>
    <mergeCell ref="F41:G41"/>
    <mergeCell ref="F36:G36"/>
    <mergeCell ref="A37:B37"/>
    <mergeCell ref="F37:G37"/>
    <mergeCell ref="A38:B38"/>
    <mergeCell ref="F38:G38"/>
    <mergeCell ref="A39:B39"/>
    <mergeCell ref="F39:G39"/>
    <mergeCell ref="A28:B28"/>
    <mergeCell ref="A29:B29"/>
    <mergeCell ref="A30:B30"/>
    <mergeCell ref="A31:B31"/>
    <mergeCell ref="A32:B32"/>
    <mergeCell ref="A36:B36"/>
    <mergeCell ref="H21:H22"/>
    <mergeCell ref="A23:B23"/>
    <mergeCell ref="A24:B24"/>
    <mergeCell ref="A25:B25"/>
    <mergeCell ref="A26:B26"/>
    <mergeCell ref="A27:B27"/>
    <mergeCell ref="B15:F15"/>
    <mergeCell ref="B16:F16"/>
    <mergeCell ref="G16:I16"/>
    <mergeCell ref="B17:H17"/>
    <mergeCell ref="B19:H19"/>
    <mergeCell ref="A21:B22"/>
    <mergeCell ref="C21:C22"/>
    <mergeCell ref="D21:D22"/>
    <mergeCell ref="E21:E22"/>
    <mergeCell ref="F21:G21"/>
    <mergeCell ref="A7:H7"/>
    <mergeCell ref="B9:F9"/>
    <mergeCell ref="B10:F10"/>
    <mergeCell ref="G10:I10"/>
    <mergeCell ref="B12:F12"/>
    <mergeCell ref="B13:F13"/>
    <mergeCell ref="A47:B47"/>
    <mergeCell ref="F47:G47"/>
    <mergeCell ref="A48:B48"/>
    <mergeCell ref="F48:G48"/>
    <mergeCell ref="A49:B49"/>
    <mergeCell ref="F49:G49"/>
    <mergeCell ref="A53:B53"/>
    <mergeCell ref="F53:G53"/>
    <mergeCell ref="A50:B50"/>
    <mergeCell ref="F50:G50"/>
    <mergeCell ref="A51:B51"/>
    <mergeCell ref="F51:G51"/>
    <mergeCell ref="A52:B52"/>
    <mergeCell ref="F52:G52"/>
  </mergeCells>
  <printOptions horizontalCentered="1"/>
  <pageMargins left="0" right="0" top="0" bottom="0" header="0" footer="0"/>
  <pageSetup fitToHeight="2" horizontalDpi="600" verticalDpi="600" orientation="landscape" paperSize="9" scale="72" r:id="rId1"/>
  <rowBreaks count="1" manualBreakCount="1">
    <brk id="93" max="8" man="1"/>
  </rowBreaks>
</worksheet>
</file>

<file path=xl/worksheets/sheet14.xml><?xml version="1.0" encoding="utf-8"?>
<worksheet xmlns="http://schemas.openxmlformats.org/spreadsheetml/2006/main" xmlns:r="http://schemas.openxmlformats.org/officeDocument/2006/relationships">
  <sheetPr>
    <tabColor theme="3" tint="-0.24997000396251678"/>
  </sheetPr>
  <dimension ref="A2:N88"/>
  <sheetViews>
    <sheetView view="pageBreakPreview" zoomScaleSheetLayoutView="100" zoomScalePageLayoutView="0" workbookViewId="0" topLeftCell="A28">
      <selection activeCell="E56" sqref="E56"/>
    </sheetView>
  </sheetViews>
  <sheetFormatPr defaultColWidth="9.00390625" defaultRowHeight="15.75"/>
  <cols>
    <col min="1" max="1" width="9.25390625" style="37" customWidth="1"/>
    <col min="2" max="2" width="2.25390625" style="37" customWidth="1"/>
    <col min="3" max="3" width="33.25390625" style="37" customWidth="1"/>
    <col min="4" max="4" width="10.50390625" style="37" customWidth="1"/>
    <col min="5" max="5" width="23.125" style="37" customWidth="1"/>
    <col min="6" max="6" width="16.625" style="37" customWidth="1"/>
    <col min="7" max="7" width="13.50390625" style="37" customWidth="1"/>
    <col min="8" max="8" width="35.125" style="37" customWidth="1"/>
    <col min="9" max="9" width="14.50390625" style="37" customWidth="1"/>
    <col min="10" max="16384" width="9.00390625" style="59" customWidth="1"/>
  </cols>
  <sheetData>
    <row r="2" spans="8:11" ht="15">
      <c r="H2" s="37" t="s">
        <v>137</v>
      </c>
      <c r="J2" s="37"/>
      <c r="K2" s="37"/>
    </row>
    <row r="3" spans="8:11" ht="15">
      <c r="H3" s="37" t="s">
        <v>129</v>
      </c>
      <c r="J3" s="37"/>
      <c r="K3" s="37"/>
    </row>
    <row r="4" spans="8:11" ht="15">
      <c r="H4" s="37" t="s">
        <v>130</v>
      </c>
      <c r="J4" s="37"/>
      <c r="K4" s="37"/>
    </row>
    <row r="5" spans="10:11" ht="12" customHeight="1">
      <c r="J5" s="37"/>
      <c r="K5" s="37"/>
    </row>
    <row r="6" spans="10:11" ht="15" hidden="1">
      <c r="J6" s="37"/>
      <c r="K6" s="37"/>
    </row>
    <row r="7" spans="1:8" ht="25.5" customHeight="1" thickBot="1">
      <c r="A7" s="604" t="s">
        <v>437</v>
      </c>
      <c r="B7" s="604"/>
      <c r="C7" s="604"/>
      <c r="D7" s="604"/>
      <c r="E7" s="604"/>
      <c r="F7" s="604"/>
      <c r="G7" s="604"/>
      <c r="H7" s="604"/>
    </row>
    <row r="8" spans="1:8" ht="25.5" customHeight="1">
      <c r="A8" s="344"/>
      <c r="B8" s="344"/>
      <c r="C8" s="344"/>
      <c r="D8" s="344"/>
      <c r="E8" s="344"/>
      <c r="F8" s="344"/>
      <c r="G8" s="344"/>
      <c r="H8" s="344"/>
    </row>
    <row r="9" spans="1:14" s="37" customFormat="1" ht="15">
      <c r="A9" s="345" t="s">
        <v>16</v>
      </c>
      <c r="B9" s="457" t="s">
        <v>35</v>
      </c>
      <c r="C9" s="457"/>
      <c r="D9" s="457"/>
      <c r="E9" s="457"/>
      <c r="F9" s="457"/>
      <c r="G9" s="38"/>
      <c r="H9" s="31" t="s">
        <v>146</v>
      </c>
      <c r="I9" s="32"/>
      <c r="J9" s="33"/>
      <c r="K9" s="33"/>
      <c r="L9" s="346"/>
      <c r="M9" s="346"/>
      <c r="N9" s="346"/>
    </row>
    <row r="10" spans="1:14" s="172" customFormat="1" ht="18" customHeight="1">
      <c r="A10" s="347" t="s">
        <v>1</v>
      </c>
      <c r="B10" s="601" t="s">
        <v>45</v>
      </c>
      <c r="C10" s="601"/>
      <c r="D10" s="601"/>
      <c r="E10" s="601"/>
      <c r="F10" s="601"/>
      <c r="G10" s="601" t="s">
        <v>322</v>
      </c>
      <c r="H10" s="601"/>
      <c r="I10" s="601"/>
      <c r="J10" s="348"/>
      <c r="K10" s="348"/>
      <c r="L10" s="348"/>
      <c r="M10" s="348"/>
      <c r="N10" s="349"/>
    </row>
    <row r="11" spans="1:11" s="37" customFormat="1" ht="6" customHeight="1">
      <c r="A11" s="24"/>
      <c r="J11" s="59"/>
      <c r="K11" s="59"/>
    </row>
    <row r="12" spans="1:14" s="37" customFormat="1" ht="15">
      <c r="A12" s="345" t="s">
        <v>18</v>
      </c>
      <c r="B12" s="457" t="str">
        <f>B9</f>
        <v>Виконавчий комітет Сумської міської ради</v>
      </c>
      <c r="C12" s="457"/>
      <c r="D12" s="457"/>
      <c r="E12" s="457"/>
      <c r="F12" s="457"/>
      <c r="G12" s="350"/>
      <c r="H12" s="31" t="s">
        <v>147</v>
      </c>
      <c r="I12" s="350"/>
      <c r="J12" s="351"/>
      <c r="K12" s="33"/>
      <c r="L12" s="346"/>
      <c r="M12" s="346"/>
      <c r="N12" s="346"/>
    </row>
    <row r="13" spans="1:14" s="172" customFormat="1" ht="12.75">
      <c r="A13" s="347" t="s">
        <v>1</v>
      </c>
      <c r="B13" s="605" t="s">
        <v>503</v>
      </c>
      <c r="C13" s="605"/>
      <c r="D13" s="605"/>
      <c r="E13" s="605"/>
      <c r="F13" s="605"/>
      <c r="G13" s="352" t="s">
        <v>322</v>
      </c>
      <c r="H13" s="352"/>
      <c r="I13" s="352"/>
      <c r="J13" s="352"/>
      <c r="K13" s="352"/>
      <c r="L13" s="352"/>
      <c r="M13" s="352"/>
      <c r="N13" s="349"/>
    </row>
    <row r="14" s="37" customFormat="1" ht="9" customHeight="1">
      <c r="A14" s="24"/>
    </row>
    <row r="15" spans="1:14" s="37" customFormat="1" ht="15">
      <c r="A15" s="345" t="s">
        <v>21</v>
      </c>
      <c r="B15" s="457" t="s">
        <v>158</v>
      </c>
      <c r="C15" s="457"/>
      <c r="D15" s="457"/>
      <c r="E15" s="457"/>
      <c r="F15" s="457"/>
      <c r="G15" s="33"/>
      <c r="H15" s="31" t="s">
        <v>296</v>
      </c>
      <c r="I15" s="33"/>
      <c r="J15" s="351"/>
      <c r="K15" s="33"/>
      <c r="L15" s="346"/>
      <c r="M15" s="346"/>
      <c r="N15" s="346"/>
    </row>
    <row r="16" spans="1:14" s="172" customFormat="1" ht="51" customHeight="1">
      <c r="A16" s="347" t="s">
        <v>1</v>
      </c>
      <c r="B16" s="600" t="s">
        <v>462</v>
      </c>
      <c r="C16" s="600"/>
      <c r="D16" s="600"/>
      <c r="E16" s="600"/>
      <c r="F16" s="600"/>
      <c r="G16" s="601" t="s">
        <v>336</v>
      </c>
      <c r="H16" s="601"/>
      <c r="I16" s="601"/>
      <c r="J16" s="352"/>
      <c r="K16" s="352"/>
      <c r="L16" s="352"/>
      <c r="M16" s="352"/>
      <c r="N16" s="349"/>
    </row>
    <row r="17" spans="1:8" ht="15.75" customHeight="1">
      <c r="A17" s="353" t="s">
        <v>23</v>
      </c>
      <c r="B17" s="582" t="s">
        <v>438</v>
      </c>
      <c r="C17" s="582"/>
      <c r="D17" s="582"/>
      <c r="E17" s="582"/>
      <c r="F17" s="582"/>
      <c r="G17" s="582"/>
      <c r="H17" s="582"/>
    </row>
    <row r="18" spans="1:8" ht="15">
      <c r="A18" s="353"/>
      <c r="B18" s="353"/>
      <c r="C18" s="354"/>
      <c r="D18" s="354"/>
      <c r="E18" s="354"/>
      <c r="F18" s="354"/>
      <c r="G18" s="354"/>
      <c r="H18" s="354"/>
    </row>
    <row r="19" spans="1:8" ht="18" customHeight="1">
      <c r="A19" s="355" t="s">
        <v>334</v>
      </c>
      <c r="B19" s="582" t="s">
        <v>490</v>
      </c>
      <c r="C19" s="582"/>
      <c r="D19" s="582"/>
      <c r="E19" s="582"/>
      <c r="F19" s="582"/>
      <c r="G19" s="582"/>
      <c r="H19" s="582"/>
    </row>
    <row r="20" ht="15">
      <c r="H20" s="26" t="s">
        <v>70</v>
      </c>
    </row>
    <row r="21" spans="1:9" s="358" customFormat="1" ht="42.75" customHeight="1">
      <c r="A21" s="587" t="s">
        <v>421</v>
      </c>
      <c r="B21" s="602"/>
      <c r="C21" s="497" t="s">
        <v>44</v>
      </c>
      <c r="D21" s="591" t="s">
        <v>338</v>
      </c>
      <c r="E21" s="591" t="s">
        <v>339</v>
      </c>
      <c r="F21" s="584" t="s">
        <v>439</v>
      </c>
      <c r="G21" s="432"/>
      <c r="H21" s="591" t="s">
        <v>446</v>
      </c>
      <c r="I21" s="357"/>
    </row>
    <row r="22" spans="1:9" s="358" customFormat="1" ht="68.25" customHeight="1">
      <c r="A22" s="589"/>
      <c r="B22" s="603"/>
      <c r="C22" s="497"/>
      <c r="D22" s="592"/>
      <c r="E22" s="592"/>
      <c r="F22" s="17" t="s">
        <v>104</v>
      </c>
      <c r="G22" s="356" t="s">
        <v>85</v>
      </c>
      <c r="H22" s="592"/>
      <c r="I22" s="357"/>
    </row>
    <row r="23" spans="1:9" s="171" customFormat="1" ht="15.75" customHeight="1">
      <c r="A23" s="593">
        <v>1</v>
      </c>
      <c r="B23" s="594"/>
      <c r="C23" s="359">
        <v>2</v>
      </c>
      <c r="D23" s="359">
        <v>3</v>
      </c>
      <c r="E23" s="359">
        <v>4</v>
      </c>
      <c r="F23" s="359">
        <v>5</v>
      </c>
      <c r="G23" s="359">
        <v>6</v>
      </c>
      <c r="H23" s="359">
        <v>7</v>
      </c>
      <c r="I23" s="360"/>
    </row>
    <row r="24" spans="1:9" s="365" customFormat="1" ht="27" customHeight="1">
      <c r="A24" s="598"/>
      <c r="B24" s="599"/>
      <c r="C24" s="361" t="s">
        <v>158</v>
      </c>
      <c r="D24" s="362"/>
      <c r="E24" s="362"/>
      <c r="F24" s="362"/>
      <c r="G24" s="363"/>
      <c r="H24" s="363"/>
      <c r="I24" s="364"/>
    </row>
    <row r="25" spans="1:9" s="399" customFormat="1" ht="19.5" customHeight="1" hidden="1">
      <c r="A25" s="577">
        <v>2210</v>
      </c>
      <c r="B25" s="578"/>
      <c r="C25" s="400" t="s">
        <v>93</v>
      </c>
      <c r="D25" s="395"/>
      <c r="E25" s="395"/>
      <c r="F25" s="395"/>
      <c r="G25" s="396"/>
      <c r="H25" s="397"/>
      <c r="I25" s="398"/>
    </row>
    <row r="26" spans="1:9" s="399" customFormat="1" ht="15.75" customHeight="1" hidden="1">
      <c r="A26" s="577">
        <v>2240</v>
      </c>
      <c r="B26" s="578"/>
      <c r="C26" s="400" t="s">
        <v>149</v>
      </c>
      <c r="D26" s="395"/>
      <c r="E26" s="395"/>
      <c r="F26" s="395"/>
      <c r="G26" s="396"/>
      <c r="H26" s="397"/>
      <c r="I26" s="398"/>
    </row>
    <row r="27" spans="1:9" s="399" customFormat="1" ht="31.5" customHeight="1" hidden="1">
      <c r="A27" s="577">
        <v>2610</v>
      </c>
      <c r="B27" s="578"/>
      <c r="C27" s="400" t="s">
        <v>155</v>
      </c>
      <c r="D27" s="395"/>
      <c r="E27" s="395"/>
      <c r="F27" s="395"/>
      <c r="G27" s="396"/>
      <c r="H27" s="397"/>
      <c r="I27" s="398"/>
    </row>
    <row r="28" spans="1:9" s="171" customFormat="1" ht="30.75" customHeight="1">
      <c r="A28" s="584">
        <v>3110</v>
      </c>
      <c r="B28" s="432"/>
      <c r="C28" s="271" t="s">
        <v>94</v>
      </c>
      <c r="D28" s="178">
        <f>'2019-2(6.1;6.2;6.3,6.4)'!E10</f>
        <v>0</v>
      </c>
      <c r="E28" s="178">
        <f>'2019-2(6.1;6.2;6.3,6.4)'!I10</f>
        <v>7631000</v>
      </c>
      <c r="F28" s="178">
        <f>'2019-2(6.1;6.2;6.3,6.4)'!M10</f>
        <v>3527500</v>
      </c>
      <c r="G28" s="79"/>
      <c r="H28" s="359"/>
      <c r="I28" s="360"/>
    </row>
    <row r="29" spans="1:9" s="171" customFormat="1" ht="30.75" customHeight="1">
      <c r="A29" s="584">
        <v>3122</v>
      </c>
      <c r="B29" s="432"/>
      <c r="C29" s="271" t="s">
        <v>284</v>
      </c>
      <c r="D29" s="178">
        <f>'2019-2(6.1;6.2;6.3,6.4)'!E11</f>
        <v>0</v>
      </c>
      <c r="E29" s="178">
        <f>'2019-2(6.1;6.2;6.3,6.4)'!I11</f>
        <v>0</v>
      </c>
      <c r="F29" s="178">
        <f>'2019-2(6.1;6.2;6.3,6.4)'!M11</f>
        <v>0</v>
      </c>
      <c r="G29" s="79"/>
      <c r="H29" s="359"/>
      <c r="I29" s="360"/>
    </row>
    <row r="30" spans="1:9" s="171" customFormat="1" ht="24" customHeight="1">
      <c r="A30" s="584">
        <v>3132</v>
      </c>
      <c r="B30" s="432"/>
      <c r="C30" s="271" t="s">
        <v>256</v>
      </c>
      <c r="D30" s="178">
        <f>'2019-2(6.1;6.2;6.3,6.4)'!E12</f>
        <v>0</v>
      </c>
      <c r="E30" s="178">
        <f>'2019-2(6.1;6.2;6.3,6.4)'!I12</f>
        <v>480000</v>
      </c>
      <c r="F30" s="178">
        <f>'2019-2(6.1;6.2;6.3,6.4)'!M12</f>
        <v>260000</v>
      </c>
      <c r="G30" s="79"/>
      <c r="H30" s="359"/>
      <c r="I30" s="360"/>
    </row>
    <row r="31" spans="1:9" s="171" customFormat="1" ht="30.75" customHeight="1">
      <c r="A31" s="584">
        <v>3210</v>
      </c>
      <c r="B31" s="432"/>
      <c r="C31" s="271" t="s">
        <v>156</v>
      </c>
      <c r="D31" s="178">
        <f>'2019-2(6.1;6.2;6.3,6.4)'!E13</f>
        <v>304982</v>
      </c>
      <c r="E31" s="178">
        <f>'2019-2(6.1;6.2;6.3,6.4)'!I13</f>
        <v>0</v>
      </c>
      <c r="F31" s="178">
        <f>'2019-2(6.1;6.2;6.3,6.4)'!M13</f>
        <v>0</v>
      </c>
      <c r="G31" s="79"/>
      <c r="H31" s="359"/>
      <c r="I31" s="360"/>
    </row>
    <row r="32" spans="1:9" s="171" customFormat="1" ht="15.75" customHeight="1">
      <c r="A32" s="573"/>
      <c r="B32" s="573"/>
      <c r="C32" s="366" t="s">
        <v>331</v>
      </c>
      <c r="D32" s="170">
        <f>D25+D26+D31+D27</f>
        <v>304982</v>
      </c>
      <c r="E32" s="170">
        <f>E25+E26+E27+E28+E29+E30+E31</f>
        <v>8111000</v>
      </c>
      <c r="F32" s="170">
        <f>F25+F26+F27+F28+F29+F30+F31</f>
        <v>3787500</v>
      </c>
      <c r="G32" s="79" t="s">
        <v>40</v>
      </c>
      <c r="H32" s="359"/>
      <c r="I32" s="360"/>
    </row>
    <row r="34" spans="1:9" s="368" customFormat="1" ht="13.5" customHeight="1">
      <c r="A34" s="24" t="s">
        <v>105</v>
      </c>
      <c r="B34" s="24"/>
      <c r="C34" s="367"/>
      <c r="D34" s="367"/>
      <c r="E34" s="367"/>
      <c r="F34" s="367"/>
      <c r="G34" s="367"/>
      <c r="H34" s="367"/>
      <c r="I34" s="24"/>
    </row>
    <row r="36" spans="1:8" ht="29.25" customHeight="1">
      <c r="A36" s="584" t="s">
        <v>24</v>
      </c>
      <c r="B36" s="432"/>
      <c r="C36" s="17" t="s">
        <v>84</v>
      </c>
      <c r="D36" s="17" t="s">
        <v>49</v>
      </c>
      <c r="E36" s="17" t="s">
        <v>50</v>
      </c>
      <c r="F36" s="497" t="s">
        <v>440</v>
      </c>
      <c r="G36" s="497"/>
      <c r="H36" s="17" t="s">
        <v>447</v>
      </c>
    </row>
    <row r="37" spans="1:9" s="365" customFormat="1" ht="15">
      <c r="A37" s="593">
        <v>1</v>
      </c>
      <c r="B37" s="594"/>
      <c r="C37" s="359">
        <v>2</v>
      </c>
      <c r="D37" s="359">
        <v>3</v>
      </c>
      <c r="E37" s="359">
        <v>4</v>
      </c>
      <c r="F37" s="597">
        <v>5</v>
      </c>
      <c r="G37" s="597"/>
      <c r="H37" s="359">
        <v>6</v>
      </c>
      <c r="I37" s="364"/>
    </row>
    <row r="38" spans="1:9" s="365" customFormat="1" ht="15">
      <c r="A38" s="593"/>
      <c r="B38" s="594"/>
      <c r="C38" s="369"/>
      <c r="D38" s="359"/>
      <c r="E38" s="359"/>
      <c r="F38" s="595"/>
      <c r="G38" s="596"/>
      <c r="H38" s="359"/>
      <c r="I38" s="364"/>
    </row>
    <row r="39" spans="1:9" s="365" customFormat="1" ht="15">
      <c r="A39" s="593"/>
      <c r="B39" s="594"/>
      <c r="C39" s="369"/>
      <c r="D39" s="359"/>
      <c r="E39" s="359"/>
      <c r="F39" s="595"/>
      <c r="G39" s="596"/>
      <c r="H39" s="359"/>
      <c r="I39" s="364"/>
    </row>
    <row r="40" spans="1:9" s="365" customFormat="1" ht="15">
      <c r="A40" s="593"/>
      <c r="B40" s="594"/>
      <c r="C40" s="369" t="s">
        <v>52</v>
      </c>
      <c r="D40" s="359"/>
      <c r="E40" s="359"/>
      <c r="F40" s="595"/>
      <c r="G40" s="596"/>
      <c r="H40" s="359"/>
      <c r="I40" s="364"/>
    </row>
    <row r="41" spans="1:9" s="365" customFormat="1" ht="15">
      <c r="A41" s="593"/>
      <c r="B41" s="594"/>
      <c r="C41" s="369" t="s">
        <v>86</v>
      </c>
      <c r="D41" s="359"/>
      <c r="E41" s="359"/>
      <c r="F41" s="595"/>
      <c r="G41" s="596"/>
      <c r="H41" s="359"/>
      <c r="I41" s="364"/>
    </row>
    <row r="42" spans="1:8" ht="15">
      <c r="A42" s="593"/>
      <c r="B42" s="594"/>
      <c r="C42" s="369" t="s">
        <v>53</v>
      </c>
      <c r="D42" s="109"/>
      <c r="E42" s="109"/>
      <c r="F42" s="595"/>
      <c r="G42" s="596"/>
      <c r="H42" s="109"/>
    </row>
    <row r="43" spans="1:8" ht="15">
      <c r="A43" s="593"/>
      <c r="B43" s="594"/>
      <c r="C43" s="369" t="s">
        <v>86</v>
      </c>
      <c r="D43" s="109"/>
      <c r="E43" s="109"/>
      <c r="F43" s="595"/>
      <c r="G43" s="596"/>
      <c r="H43" s="109"/>
    </row>
    <row r="44" spans="1:8" ht="15">
      <c r="A44" s="593"/>
      <c r="B44" s="594"/>
      <c r="C44" s="369" t="s">
        <v>54</v>
      </c>
      <c r="D44" s="109"/>
      <c r="E44" s="109"/>
      <c r="F44" s="595"/>
      <c r="G44" s="596"/>
      <c r="H44" s="109"/>
    </row>
    <row r="45" spans="1:8" ht="15">
      <c r="A45" s="593"/>
      <c r="B45" s="594"/>
      <c r="C45" s="369" t="s">
        <v>86</v>
      </c>
      <c r="D45" s="109"/>
      <c r="E45" s="109"/>
      <c r="F45" s="595"/>
      <c r="G45" s="596"/>
      <c r="H45" s="109"/>
    </row>
    <row r="46" spans="1:8" ht="15">
      <c r="A46" s="593"/>
      <c r="B46" s="594"/>
      <c r="C46" s="369" t="s">
        <v>55</v>
      </c>
      <c r="D46" s="109"/>
      <c r="E46" s="109"/>
      <c r="F46" s="595"/>
      <c r="G46" s="596"/>
      <c r="H46" s="109"/>
    </row>
    <row r="47" spans="1:8" ht="15">
      <c r="A47" s="593"/>
      <c r="B47" s="594"/>
      <c r="C47" s="369" t="s">
        <v>86</v>
      </c>
      <c r="D47" s="109"/>
      <c r="E47" s="109"/>
      <c r="F47" s="595"/>
      <c r="G47" s="596"/>
      <c r="H47" s="109"/>
    </row>
    <row r="49" spans="1:9" s="368" customFormat="1" ht="30" customHeight="1">
      <c r="A49" s="582" t="s">
        <v>470</v>
      </c>
      <c r="B49" s="582"/>
      <c r="C49" s="582"/>
      <c r="D49" s="582"/>
      <c r="E49" s="582"/>
      <c r="F49" s="582"/>
      <c r="G49" s="582"/>
      <c r="H49" s="582"/>
      <c r="I49" s="24"/>
    </row>
    <row r="50" spans="3:8" ht="13.5" customHeight="1">
      <c r="C50" s="367"/>
      <c r="D50" s="367"/>
      <c r="E50" s="367"/>
      <c r="F50" s="367"/>
      <c r="G50" s="367"/>
      <c r="H50" s="367"/>
    </row>
    <row r="51" spans="3:9" ht="13.5" customHeight="1">
      <c r="C51" s="367"/>
      <c r="D51" s="367"/>
      <c r="E51" s="367"/>
      <c r="F51" s="367"/>
      <c r="G51" s="367"/>
      <c r="H51" s="59"/>
      <c r="I51" s="152"/>
    </row>
    <row r="52" spans="1:9" ht="13.5" customHeight="1">
      <c r="A52" s="574" t="s">
        <v>331</v>
      </c>
      <c r="B52" s="575"/>
      <c r="C52" s="370"/>
      <c r="D52" s="369"/>
      <c r="E52" s="369"/>
      <c r="F52" s="369"/>
      <c r="G52" s="369"/>
      <c r="H52" s="369"/>
      <c r="I52" s="154"/>
    </row>
    <row r="53" spans="3:8" ht="13.5" customHeight="1">
      <c r="C53" s="367"/>
      <c r="D53" s="367"/>
      <c r="E53" s="367"/>
      <c r="F53" s="367"/>
      <c r="G53" s="367"/>
      <c r="H53" s="367"/>
    </row>
    <row r="54" spans="1:8" ht="15" customHeight="1">
      <c r="A54" s="355" t="s">
        <v>335</v>
      </c>
      <c r="B54" s="582" t="s">
        <v>491</v>
      </c>
      <c r="C54" s="582"/>
      <c r="D54" s="582"/>
      <c r="E54" s="582"/>
      <c r="F54" s="582"/>
      <c r="G54" s="582"/>
      <c r="H54" s="582"/>
    </row>
    <row r="55" spans="3:8" ht="13.5" customHeight="1">
      <c r="C55" s="367"/>
      <c r="D55" s="367"/>
      <c r="E55" s="367"/>
      <c r="F55" s="367"/>
      <c r="G55" s="367"/>
      <c r="H55" s="26" t="s">
        <v>70</v>
      </c>
    </row>
    <row r="56" spans="1:8" ht="32.25" customHeight="1">
      <c r="A56" s="497" t="s">
        <v>14</v>
      </c>
      <c r="B56" s="587" t="s">
        <v>44</v>
      </c>
      <c r="C56" s="588"/>
      <c r="D56" s="497" t="s">
        <v>142</v>
      </c>
      <c r="E56" s="497"/>
      <c r="F56" s="497" t="s">
        <v>441</v>
      </c>
      <c r="G56" s="497"/>
      <c r="H56" s="591" t="s">
        <v>442</v>
      </c>
    </row>
    <row r="57" spans="1:8" ht="39" customHeight="1">
      <c r="A57" s="497"/>
      <c r="B57" s="589"/>
      <c r="C57" s="590"/>
      <c r="D57" s="17" t="s">
        <v>88</v>
      </c>
      <c r="E57" s="74" t="s">
        <v>443</v>
      </c>
      <c r="F57" s="17" t="s">
        <v>88</v>
      </c>
      <c r="G57" s="74" t="s">
        <v>443</v>
      </c>
      <c r="H57" s="592"/>
    </row>
    <row r="58" spans="1:8" ht="13.5" customHeight="1">
      <c r="A58" s="17">
        <v>1</v>
      </c>
      <c r="B58" s="584">
        <v>2</v>
      </c>
      <c r="C58" s="432"/>
      <c r="D58" s="17">
        <v>3</v>
      </c>
      <c r="E58" s="17">
        <v>4</v>
      </c>
      <c r="F58" s="17">
        <v>5</v>
      </c>
      <c r="G58" s="17">
        <v>6</v>
      </c>
      <c r="H58" s="17">
        <v>7</v>
      </c>
    </row>
    <row r="59" spans="1:8" ht="13.5" customHeight="1">
      <c r="A59" s="286"/>
      <c r="B59" s="585"/>
      <c r="C59" s="586"/>
      <c r="D59" s="17"/>
      <c r="E59" s="17"/>
      <c r="F59" s="17"/>
      <c r="G59" s="17"/>
      <c r="H59" s="17"/>
    </row>
    <row r="60" spans="1:8" ht="13.5" customHeight="1">
      <c r="A60" s="286"/>
      <c r="B60" s="585"/>
      <c r="C60" s="586"/>
      <c r="D60" s="17"/>
      <c r="E60" s="17"/>
      <c r="F60" s="17"/>
      <c r="G60" s="17"/>
      <c r="H60" s="17"/>
    </row>
    <row r="61" spans="1:8" ht="13.5" customHeight="1">
      <c r="A61" s="286"/>
      <c r="B61" s="585"/>
      <c r="C61" s="586"/>
      <c r="D61" s="17"/>
      <c r="E61" s="17"/>
      <c r="F61" s="17"/>
      <c r="G61" s="17"/>
      <c r="H61" s="17"/>
    </row>
    <row r="62" spans="1:8" ht="13.5" customHeight="1">
      <c r="A62" s="286"/>
      <c r="B62" s="585"/>
      <c r="C62" s="586"/>
      <c r="D62" s="17"/>
      <c r="E62" s="17"/>
      <c r="F62" s="17"/>
      <c r="G62" s="17"/>
      <c r="H62" s="17"/>
    </row>
    <row r="63" spans="1:8" ht="13.5" customHeight="1">
      <c r="A63" s="286"/>
      <c r="B63" s="585"/>
      <c r="C63" s="586"/>
      <c r="D63" s="17"/>
      <c r="E63" s="17"/>
      <c r="F63" s="17"/>
      <c r="G63" s="17"/>
      <c r="H63" s="17"/>
    </row>
    <row r="64" spans="3:8" ht="13.5" customHeight="1">
      <c r="C64" s="367"/>
      <c r="D64" s="367"/>
      <c r="E64" s="367"/>
      <c r="F64" s="367"/>
      <c r="G64" s="367"/>
      <c r="H64" s="367"/>
    </row>
    <row r="65" spans="1:9" s="368" customFormat="1" ht="13.5" customHeight="1">
      <c r="A65" s="24" t="s">
        <v>492</v>
      </c>
      <c r="B65" s="24"/>
      <c r="C65" s="367"/>
      <c r="D65" s="367"/>
      <c r="E65" s="367"/>
      <c r="F65" s="367"/>
      <c r="G65" s="367"/>
      <c r="H65" s="367"/>
      <c r="I65" s="24"/>
    </row>
    <row r="66" spans="1:8" ht="13.5" customHeight="1">
      <c r="A66" s="371"/>
      <c r="B66" s="371"/>
      <c r="C66" s="367"/>
      <c r="D66" s="367"/>
      <c r="E66" s="367"/>
      <c r="F66" s="367"/>
      <c r="G66" s="367"/>
      <c r="H66" s="367"/>
    </row>
    <row r="67" spans="1:9" ht="73.5" customHeight="1">
      <c r="A67" s="580" t="s">
        <v>24</v>
      </c>
      <c r="B67" s="581"/>
      <c r="C67" s="372" t="s">
        <v>84</v>
      </c>
      <c r="D67" s="372" t="s">
        <v>49</v>
      </c>
      <c r="E67" s="372" t="s">
        <v>50</v>
      </c>
      <c r="F67" s="372" t="s">
        <v>143</v>
      </c>
      <c r="G67" s="372" t="s">
        <v>144</v>
      </c>
      <c r="H67" s="372" t="s">
        <v>444</v>
      </c>
      <c r="I67" s="372" t="s">
        <v>445</v>
      </c>
    </row>
    <row r="68" spans="1:9" ht="13.5" customHeight="1">
      <c r="A68" s="580">
        <v>1</v>
      </c>
      <c r="B68" s="581"/>
      <c r="C68" s="372">
        <v>2</v>
      </c>
      <c r="D68" s="372">
        <v>3</v>
      </c>
      <c r="E68" s="372">
        <v>4</v>
      </c>
      <c r="F68" s="372">
        <v>5</v>
      </c>
      <c r="G68" s="372">
        <v>6</v>
      </c>
      <c r="H68" s="372">
        <v>7</v>
      </c>
      <c r="I68" s="372">
        <v>8</v>
      </c>
    </row>
    <row r="69" spans="1:9" ht="13.5" customHeight="1">
      <c r="A69" s="580"/>
      <c r="B69" s="581"/>
      <c r="C69" s="373" t="s">
        <v>52</v>
      </c>
      <c r="D69" s="374"/>
      <c r="E69" s="374"/>
      <c r="F69" s="374"/>
      <c r="G69" s="374"/>
      <c r="H69" s="374"/>
      <c r="I69" s="374"/>
    </row>
    <row r="70" spans="1:9" ht="13.5" customHeight="1">
      <c r="A70" s="580"/>
      <c r="B70" s="581"/>
      <c r="C70" s="373" t="s">
        <v>86</v>
      </c>
      <c r="D70" s="374"/>
      <c r="E70" s="374"/>
      <c r="F70" s="374"/>
      <c r="G70" s="374"/>
      <c r="H70" s="374"/>
      <c r="I70" s="374"/>
    </row>
    <row r="71" spans="1:9" ht="13.5" customHeight="1">
      <c r="A71" s="580"/>
      <c r="B71" s="581"/>
      <c r="C71" s="373" t="s">
        <v>53</v>
      </c>
      <c r="D71" s="374"/>
      <c r="E71" s="374"/>
      <c r="F71" s="374"/>
      <c r="G71" s="374"/>
      <c r="H71" s="374"/>
      <c r="I71" s="374"/>
    </row>
    <row r="72" spans="1:9" ht="13.5" customHeight="1">
      <c r="A72" s="580"/>
      <c r="B72" s="581"/>
      <c r="C72" s="373" t="s">
        <v>86</v>
      </c>
      <c r="D72" s="374"/>
      <c r="E72" s="374"/>
      <c r="F72" s="374"/>
      <c r="G72" s="374"/>
      <c r="H72" s="374"/>
      <c r="I72" s="374"/>
    </row>
    <row r="73" spans="1:9" ht="13.5" customHeight="1">
      <c r="A73" s="580"/>
      <c r="B73" s="581"/>
      <c r="C73" s="373" t="s">
        <v>54</v>
      </c>
      <c r="D73" s="374"/>
      <c r="E73" s="374"/>
      <c r="F73" s="374"/>
      <c r="G73" s="374"/>
      <c r="H73" s="374"/>
      <c r="I73" s="374"/>
    </row>
    <row r="74" spans="1:9" ht="13.5" customHeight="1">
      <c r="A74" s="580"/>
      <c r="B74" s="581"/>
      <c r="C74" s="373" t="s">
        <v>86</v>
      </c>
      <c r="D74" s="374"/>
      <c r="E74" s="374"/>
      <c r="F74" s="374"/>
      <c r="G74" s="374"/>
      <c r="H74" s="374"/>
      <c r="I74" s="374"/>
    </row>
    <row r="75" spans="1:9" ht="13.5" customHeight="1">
      <c r="A75" s="580"/>
      <c r="B75" s="581"/>
      <c r="C75" s="373" t="s">
        <v>55</v>
      </c>
      <c r="D75" s="374"/>
      <c r="E75" s="374"/>
      <c r="F75" s="374"/>
      <c r="G75" s="374"/>
      <c r="H75" s="374"/>
      <c r="I75" s="374"/>
    </row>
    <row r="76" spans="1:9" ht="13.5" customHeight="1">
      <c r="A76" s="580"/>
      <c r="B76" s="581"/>
      <c r="C76" s="373" t="s">
        <v>86</v>
      </c>
      <c r="D76" s="374"/>
      <c r="E76" s="374"/>
      <c r="F76" s="374"/>
      <c r="G76" s="374"/>
      <c r="H76" s="374"/>
      <c r="I76" s="374"/>
    </row>
    <row r="77" spans="1:2" ht="13.5" customHeight="1">
      <c r="A77" s="375"/>
      <c r="B77" s="375"/>
    </row>
    <row r="78" spans="1:2" ht="6" customHeight="1">
      <c r="A78" s="375"/>
      <c r="B78" s="375"/>
    </row>
    <row r="79" spans="1:8" ht="29.25" customHeight="1">
      <c r="A79" s="582" t="s">
        <v>493</v>
      </c>
      <c r="B79" s="582"/>
      <c r="C79" s="582"/>
      <c r="D79" s="582"/>
      <c r="E79" s="582"/>
      <c r="F79" s="582"/>
      <c r="G79" s="582"/>
      <c r="H79" s="582"/>
    </row>
    <row r="80" spans="1:8" ht="17.25" customHeight="1">
      <c r="A80" s="354"/>
      <c r="B80" s="354"/>
      <c r="C80" s="354"/>
      <c r="D80" s="354"/>
      <c r="E80" s="354"/>
      <c r="F80" s="354"/>
      <c r="G80" s="354"/>
      <c r="H80" s="354"/>
    </row>
    <row r="81" spans="1:9" s="377" customFormat="1" ht="13.5" customHeight="1">
      <c r="A81" s="583" t="s">
        <v>331</v>
      </c>
      <c r="B81" s="583"/>
      <c r="C81" s="583"/>
      <c r="D81" s="376"/>
      <c r="E81" s="376"/>
      <c r="F81" s="569"/>
      <c r="G81" s="570"/>
      <c r="H81" s="376"/>
      <c r="I81" s="376"/>
    </row>
    <row r="82" spans="1:8" ht="44.25" customHeight="1">
      <c r="A82" s="378"/>
      <c r="B82" s="579" t="s">
        <v>118</v>
      </c>
      <c r="C82" s="579"/>
      <c r="D82" s="379"/>
      <c r="E82" s="379"/>
      <c r="F82" s="380"/>
      <c r="G82" s="457" t="s">
        <v>119</v>
      </c>
      <c r="H82" s="457"/>
    </row>
    <row r="83" spans="4:8" ht="15">
      <c r="D83" s="571" t="s">
        <v>8</v>
      </c>
      <c r="E83" s="571"/>
      <c r="G83" s="572" t="s">
        <v>34</v>
      </c>
      <c r="H83" s="572"/>
    </row>
    <row r="84" spans="1:8" ht="36" customHeight="1">
      <c r="A84" s="378"/>
      <c r="B84" s="576" t="s">
        <v>41</v>
      </c>
      <c r="C84" s="576"/>
      <c r="D84" s="379"/>
      <c r="E84" s="379"/>
      <c r="F84" s="380"/>
      <c r="G84" s="457" t="s">
        <v>42</v>
      </c>
      <c r="H84" s="457"/>
    </row>
    <row r="85" spans="1:8" ht="16.5">
      <c r="A85" s="381"/>
      <c r="B85" s="381"/>
      <c r="D85" s="571" t="s">
        <v>8</v>
      </c>
      <c r="E85" s="571"/>
      <c r="G85" s="572" t="s">
        <v>34</v>
      </c>
      <c r="H85" s="572"/>
    </row>
    <row r="86" ht="0.75" customHeight="1"/>
    <row r="87" spans="1:8" ht="36" customHeight="1">
      <c r="A87" s="378"/>
      <c r="B87" s="576"/>
      <c r="C87" s="576"/>
      <c r="D87" s="379"/>
      <c r="E87" s="379"/>
      <c r="F87" s="380"/>
      <c r="G87" s="457"/>
      <c r="H87" s="457"/>
    </row>
    <row r="88" spans="1:8" ht="16.5">
      <c r="A88" s="381"/>
      <c r="B88" s="381"/>
      <c r="D88" s="571"/>
      <c r="E88" s="571"/>
      <c r="G88" s="572"/>
      <c r="H88" s="572"/>
    </row>
  </sheetData>
  <sheetProtection/>
  <mergeCells count="90">
    <mergeCell ref="D85:E85"/>
    <mergeCell ref="G85:H85"/>
    <mergeCell ref="B87:C87"/>
    <mergeCell ref="G87:H87"/>
    <mergeCell ref="D88:E88"/>
    <mergeCell ref="G88:H88"/>
    <mergeCell ref="B82:C82"/>
    <mergeCell ref="G82:H82"/>
    <mergeCell ref="D83:E83"/>
    <mergeCell ref="G83:H83"/>
    <mergeCell ref="B84:C84"/>
    <mergeCell ref="G84:H84"/>
    <mergeCell ref="A73:B73"/>
    <mergeCell ref="A74:B74"/>
    <mergeCell ref="A75:B75"/>
    <mergeCell ref="A76:B76"/>
    <mergeCell ref="A79:H79"/>
    <mergeCell ref="A81:C81"/>
    <mergeCell ref="F81:G81"/>
    <mergeCell ref="A67:B67"/>
    <mergeCell ref="A68:B68"/>
    <mergeCell ref="A69:B69"/>
    <mergeCell ref="A70:B70"/>
    <mergeCell ref="A71:B71"/>
    <mergeCell ref="A72:B72"/>
    <mergeCell ref="B58:C58"/>
    <mergeCell ref="B59:C59"/>
    <mergeCell ref="B60:C60"/>
    <mergeCell ref="B61:C61"/>
    <mergeCell ref="B62:C62"/>
    <mergeCell ref="B63:C63"/>
    <mergeCell ref="B54:H54"/>
    <mergeCell ref="A56:A57"/>
    <mergeCell ref="B56:C57"/>
    <mergeCell ref="D56:E56"/>
    <mergeCell ref="F56:G56"/>
    <mergeCell ref="H56:H57"/>
    <mergeCell ref="A46:B46"/>
    <mergeCell ref="F46:G46"/>
    <mergeCell ref="A47:B47"/>
    <mergeCell ref="F47:G47"/>
    <mergeCell ref="A49:H49"/>
    <mergeCell ref="A52:B52"/>
    <mergeCell ref="A43:B43"/>
    <mergeCell ref="F43:G43"/>
    <mergeCell ref="A44:B44"/>
    <mergeCell ref="F44:G44"/>
    <mergeCell ref="A45:B45"/>
    <mergeCell ref="F45:G45"/>
    <mergeCell ref="A40:B40"/>
    <mergeCell ref="F40:G40"/>
    <mergeCell ref="A41:B41"/>
    <mergeCell ref="F41:G41"/>
    <mergeCell ref="A42:B42"/>
    <mergeCell ref="F42:G42"/>
    <mergeCell ref="F36:G36"/>
    <mergeCell ref="A37:B37"/>
    <mergeCell ref="F37:G37"/>
    <mergeCell ref="A38:B38"/>
    <mergeCell ref="F38:G38"/>
    <mergeCell ref="A39:B39"/>
    <mergeCell ref="F39:G39"/>
    <mergeCell ref="A28:B28"/>
    <mergeCell ref="A29:B29"/>
    <mergeCell ref="A30:B30"/>
    <mergeCell ref="A31:B31"/>
    <mergeCell ref="A32:B32"/>
    <mergeCell ref="A36:B36"/>
    <mergeCell ref="H21:H22"/>
    <mergeCell ref="A23:B23"/>
    <mergeCell ref="A24:B24"/>
    <mergeCell ref="A25:B25"/>
    <mergeCell ref="A26:B26"/>
    <mergeCell ref="A27:B27"/>
    <mergeCell ref="B15:F15"/>
    <mergeCell ref="B16:F16"/>
    <mergeCell ref="G16:I16"/>
    <mergeCell ref="B17:H17"/>
    <mergeCell ref="B19:H19"/>
    <mergeCell ref="A21:B22"/>
    <mergeCell ref="C21:C22"/>
    <mergeCell ref="D21:D22"/>
    <mergeCell ref="E21:E22"/>
    <mergeCell ref="F21:G21"/>
    <mergeCell ref="A7:H7"/>
    <mergeCell ref="B9:F9"/>
    <mergeCell ref="B10:F10"/>
    <mergeCell ref="G10:I10"/>
    <mergeCell ref="B12:F12"/>
    <mergeCell ref="B13:F13"/>
  </mergeCells>
  <printOptions horizontalCentered="1"/>
  <pageMargins left="0" right="0" top="0" bottom="0" header="0" footer="0"/>
  <pageSetup fitToHeight="2" horizontalDpi="600" verticalDpi="600" orientation="landscape" paperSize="9" scale="72" r:id="rId1"/>
  <rowBreaks count="1" manualBreakCount="1">
    <brk id="85" max="8" man="1"/>
  </rowBreaks>
</worksheet>
</file>

<file path=xl/worksheets/sheet15.xml><?xml version="1.0" encoding="utf-8"?>
<worksheet xmlns="http://schemas.openxmlformats.org/spreadsheetml/2006/main" xmlns:r="http://schemas.openxmlformats.org/officeDocument/2006/relationships">
  <sheetPr>
    <tabColor theme="3" tint="-0.24997000396251678"/>
  </sheetPr>
  <dimension ref="A2:K88"/>
  <sheetViews>
    <sheetView view="pageBreakPreview" zoomScaleSheetLayoutView="100" zoomScalePageLayoutView="0" workbookViewId="0" topLeftCell="A16">
      <selection activeCell="E56" sqref="E56"/>
    </sheetView>
  </sheetViews>
  <sheetFormatPr defaultColWidth="9.00390625" defaultRowHeight="15.75"/>
  <cols>
    <col min="1" max="2" width="9.25390625" style="15" customWidth="1"/>
    <col min="3" max="3" width="27.75390625" style="15" customWidth="1"/>
    <col min="4" max="4" width="10.50390625" style="15" customWidth="1"/>
    <col min="5" max="5" width="23.125" style="15" customWidth="1"/>
    <col min="6" max="6" width="16.625" style="15" customWidth="1"/>
    <col min="7" max="7" width="13.50390625" style="15" customWidth="1"/>
    <col min="8" max="8" width="35.125" style="15" customWidth="1"/>
    <col min="9" max="9" width="14.50390625" style="15" customWidth="1"/>
    <col min="10" max="16384" width="9.00390625" style="60" customWidth="1"/>
  </cols>
  <sheetData>
    <row r="2" spans="8:11" ht="15">
      <c r="H2" s="15" t="s">
        <v>137</v>
      </c>
      <c r="J2" s="15"/>
      <c r="K2" s="15"/>
    </row>
    <row r="3" spans="8:11" ht="15">
      <c r="H3" s="15" t="s">
        <v>129</v>
      </c>
      <c r="J3" s="15"/>
      <c r="K3" s="15"/>
    </row>
    <row r="4" spans="8:11" ht="15">
      <c r="H4" s="15" t="s">
        <v>130</v>
      </c>
      <c r="J4" s="15"/>
      <c r="K4" s="15"/>
    </row>
    <row r="5" spans="8:11" ht="15">
      <c r="H5" s="15" t="s">
        <v>131</v>
      </c>
      <c r="J5" s="15"/>
      <c r="K5" s="15"/>
    </row>
    <row r="6" spans="10:11" ht="15">
      <c r="J6" s="15"/>
      <c r="K6" s="15"/>
    </row>
    <row r="7" spans="1:8" ht="25.5" customHeight="1" thickBot="1">
      <c r="A7" s="433" t="s">
        <v>139</v>
      </c>
      <c r="B7" s="433"/>
      <c r="C7" s="433"/>
      <c r="D7" s="433"/>
      <c r="E7" s="433"/>
      <c r="F7" s="433"/>
      <c r="G7" s="433"/>
      <c r="H7" s="433"/>
    </row>
    <row r="9" spans="1:10" ht="15">
      <c r="A9" s="11" t="s">
        <v>16</v>
      </c>
      <c r="B9" s="11"/>
      <c r="C9" s="434" t="s">
        <v>35</v>
      </c>
      <c r="D9" s="434"/>
      <c r="E9" s="434"/>
      <c r="F9" s="21"/>
      <c r="G9" s="31" t="s">
        <v>146</v>
      </c>
      <c r="H9" s="18"/>
      <c r="I9" s="19"/>
      <c r="J9" s="18"/>
    </row>
    <row r="10" spans="1:10" ht="15">
      <c r="A10" s="8" t="s">
        <v>1</v>
      </c>
      <c r="B10" s="8"/>
      <c r="C10" s="606" t="s">
        <v>45</v>
      </c>
      <c r="D10" s="606"/>
      <c r="E10" s="606"/>
      <c r="F10" s="50"/>
      <c r="G10" s="47" t="s">
        <v>17</v>
      </c>
      <c r="H10" s="49"/>
      <c r="I10" s="50"/>
      <c r="J10" s="49"/>
    </row>
    <row r="11" spans="1:2" ht="15">
      <c r="A11" s="1"/>
      <c r="B11" s="1"/>
    </row>
    <row r="12" spans="1:8" ht="15.75" customHeight="1">
      <c r="A12" s="144" t="s">
        <v>18</v>
      </c>
      <c r="B12" s="473" t="s">
        <v>197</v>
      </c>
      <c r="C12" s="473"/>
      <c r="D12" s="473"/>
      <c r="E12" s="473"/>
      <c r="F12" s="473"/>
      <c r="G12" s="473"/>
      <c r="H12" s="473"/>
    </row>
    <row r="13" spans="1:8" ht="15">
      <c r="A13" s="144"/>
      <c r="B13" s="144"/>
      <c r="C13" s="143"/>
      <c r="D13" s="143"/>
      <c r="E13" s="143"/>
      <c r="F13" s="143"/>
      <c r="G13" s="143"/>
      <c r="H13" s="143"/>
    </row>
    <row r="14" spans="1:8" ht="17.25" customHeight="1">
      <c r="A14" s="22" t="s">
        <v>19</v>
      </c>
      <c r="B14" s="473" t="s">
        <v>198</v>
      </c>
      <c r="C14" s="473"/>
      <c r="D14" s="473"/>
      <c r="E14" s="473"/>
      <c r="F14" s="473"/>
      <c r="G14" s="473"/>
      <c r="H14" s="473"/>
    </row>
    <row r="15" ht="15">
      <c r="H15" s="26" t="s">
        <v>70</v>
      </c>
    </row>
    <row r="16" spans="1:9" s="9" customFormat="1" ht="42.75" customHeight="1">
      <c r="A16" s="469" t="s">
        <v>14</v>
      </c>
      <c r="B16" s="552" t="s">
        <v>44</v>
      </c>
      <c r="C16" s="452"/>
      <c r="D16" s="469" t="s">
        <v>124</v>
      </c>
      <c r="E16" s="469" t="s">
        <v>125</v>
      </c>
      <c r="F16" s="437" t="s">
        <v>133</v>
      </c>
      <c r="G16" s="426"/>
      <c r="H16" s="469" t="s">
        <v>199</v>
      </c>
      <c r="I16" s="145"/>
    </row>
    <row r="17" spans="1:9" s="9" customFormat="1" ht="32.25" customHeight="1">
      <c r="A17" s="474"/>
      <c r="B17" s="551"/>
      <c r="C17" s="453"/>
      <c r="D17" s="474"/>
      <c r="E17" s="474"/>
      <c r="F17" s="2" t="s">
        <v>104</v>
      </c>
      <c r="G17" s="41" t="s">
        <v>85</v>
      </c>
      <c r="H17" s="474"/>
      <c r="I17" s="145"/>
    </row>
    <row r="18" spans="1:9" s="27" customFormat="1" ht="15.75" customHeight="1">
      <c r="A18" s="67">
        <v>1</v>
      </c>
      <c r="B18" s="553">
        <v>2</v>
      </c>
      <c r="C18" s="554"/>
      <c r="D18" s="67">
        <v>3</v>
      </c>
      <c r="E18" s="67">
        <v>4</v>
      </c>
      <c r="F18" s="67">
        <v>5</v>
      </c>
      <c r="G18" s="67">
        <v>6</v>
      </c>
      <c r="H18" s="67">
        <v>7</v>
      </c>
      <c r="I18" s="3"/>
    </row>
    <row r="19" spans="1:9" s="28" customFormat="1" ht="35.25" customHeight="1">
      <c r="A19" s="165" t="s">
        <v>157</v>
      </c>
      <c r="B19" s="607" t="s">
        <v>158</v>
      </c>
      <c r="C19" s="608"/>
      <c r="D19" s="146"/>
      <c r="E19" s="146"/>
      <c r="F19" s="146"/>
      <c r="G19" s="101"/>
      <c r="H19" s="101"/>
      <c r="I19" s="147"/>
    </row>
    <row r="20" spans="1:9" s="28" customFormat="1" ht="26.25" customHeight="1">
      <c r="A20" s="264" t="s">
        <v>282</v>
      </c>
      <c r="B20" s="439" t="s">
        <v>94</v>
      </c>
      <c r="C20" s="440"/>
      <c r="D20" s="146"/>
      <c r="E20" s="216">
        <f>'2019-2(6.1;6.2;6.3,6.4)'!I10</f>
        <v>7631000</v>
      </c>
      <c r="F20" s="136">
        <f>'2019-2(6.1;6.2;6.3,6.4)'!O10</f>
        <v>3527500</v>
      </c>
      <c r="G20" s="101"/>
      <c r="H20" s="101"/>
      <c r="I20" s="147"/>
    </row>
    <row r="21" spans="1:9" s="28" customFormat="1" ht="26.25" customHeight="1">
      <c r="A21" s="264" t="s">
        <v>297</v>
      </c>
      <c r="B21" s="439" t="s">
        <v>284</v>
      </c>
      <c r="C21" s="440"/>
      <c r="D21" s="146"/>
      <c r="E21" s="216">
        <f>'2019-2(6.1;6.2;6.3,6.4)'!I11</f>
        <v>0</v>
      </c>
      <c r="F21" s="136">
        <f>'2019-2(6.1;6.2;6.3,6.4)'!O11</f>
        <v>0</v>
      </c>
      <c r="G21" s="101"/>
      <c r="H21" s="101"/>
      <c r="I21" s="147"/>
    </row>
    <row r="22" spans="1:9" s="28" customFormat="1" ht="21.75" customHeight="1">
      <c r="A22" s="264" t="s">
        <v>283</v>
      </c>
      <c r="B22" s="439" t="s">
        <v>256</v>
      </c>
      <c r="C22" s="440"/>
      <c r="D22" s="146"/>
      <c r="E22" s="216">
        <f>'2019-2(6.1;6.2;6.3,6.4)'!I12</f>
        <v>480000</v>
      </c>
      <c r="F22" s="136">
        <f>'2019-2(6.1;6.2;6.3,6.4)'!O12</f>
        <v>260000</v>
      </c>
      <c r="G22" s="101"/>
      <c r="H22" s="101"/>
      <c r="I22" s="147"/>
    </row>
    <row r="23" spans="1:9" s="27" customFormat="1" ht="25.5" customHeight="1">
      <c r="A23" s="2">
        <v>3210</v>
      </c>
      <c r="B23" s="439" t="s">
        <v>156</v>
      </c>
      <c r="C23" s="440"/>
      <c r="D23" s="136">
        <f>'2019-2(6.1;6.2;6.3,6.4)'!E13</f>
        <v>304982</v>
      </c>
      <c r="E23" s="216">
        <f>'2019-2(6.1;6.2;6.3,6.4)'!I13</f>
        <v>0</v>
      </c>
      <c r="F23" s="148">
        <f>'2019-2(6.1;6.2;6.3,6.4)'!M13</f>
        <v>0</v>
      </c>
      <c r="G23" s="79"/>
      <c r="H23" s="67"/>
      <c r="I23" s="3"/>
    </row>
    <row r="24" spans="1:9" s="27" customFormat="1" ht="15.75" customHeight="1" hidden="1">
      <c r="A24" s="2"/>
      <c r="B24" s="439"/>
      <c r="C24" s="440"/>
      <c r="D24" s="136"/>
      <c r="E24" s="136"/>
      <c r="F24" s="148"/>
      <c r="G24" s="79"/>
      <c r="H24" s="67"/>
      <c r="I24" s="3"/>
    </row>
    <row r="25" spans="1:9" s="27" customFormat="1" ht="33.75" customHeight="1" hidden="1">
      <c r="A25" s="2"/>
      <c r="B25" s="439"/>
      <c r="C25" s="440"/>
      <c r="D25" s="136"/>
      <c r="E25" s="136"/>
      <c r="F25" s="148"/>
      <c r="G25" s="79"/>
      <c r="H25" s="67"/>
      <c r="I25" s="3"/>
    </row>
    <row r="26" spans="1:9" s="27" customFormat="1" ht="15.75" customHeight="1">
      <c r="A26" s="149"/>
      <c r="B26" s="609" t="s">
        <v>39</v>
      </c>
      <c r="C26" s="610"/>
      <c r="D26" s="79">
        <f>D23+D24</f>
        <v>304982</v>
      </c>
      <c r="E26" s="79">
        <f>E20+E21+E22+E23</f>
        <v>8111000</v>
      </c>
      <c r="F26" s="79">
        <f>F20+F22+F21</f>
        <v>3787500</v>
      </c>
      <c r="G26" s="79" t="s">
        <v>40</v>
      </c>
      <c r="H26" s="67"/>
      <c r="I26" s="3"/>
    </row>
    <row r="28" spans="1:9" s="130" customFormat="1" ht="13.5" customHeight="1">
      <c r="A28" s="1" t="s">
        <v>105</v>
      </c>
      <c r="B28" s="1"/>
      <c r="C28" s="150"/>
      <c r="D28" s="150"/>
      <c r="E28" s="150"/>
      <c r="F28" s="150"/>
      <c r="G28" s="150"/>
      <c r="H28" s="150"/>
      <c r="I28" s="1"/>
    </row>
    <row r="30" spans="1:8" ht="29.25" customHeight="1">
      <c r="A30" s="2" t="s">
        <v>24</v>
      </c>
      <c r="B30" s="2" t="s">
        <v>46</v>
      </c>
      <c r="C30" s="2" t="s">
        <v>48</v>
      </c>
      <c r="D30" s="2" t="s">
        <v>49</v>
      </c>
      <c r="E30" s="2" t="s">
        <v>50</v>
      </c>
      <c r="F30" s="438" t="s">
        <v>140</v>
      </c>
      <c r="G30" s="438"/>
      <c r="H30" s="2" t="s">
        <v>141</v>
      </c>
    </row>
    <row r="31" spans="1:9" s="28" customFormat="1" ht="15">
      <c r="A31" s="67">
        <v>1</v>
      </c>
      <c r="B31" s="67">
        <v>2</v>
      </c>
      <c r="C31" s="67">
        <v>3</v>
      </c>
      <c r="D31" s="67">
        <v>4</v>
      </c>
      <c r="E31" s="67">
        <v>5</v>
      </c>
      <c r="F31" s="611">
        <v>6</v>
      </c>
      <c r="G31" s="611"/>
      <c r="H31" s="67">
        <v>7</v>
      </c>
      <c r="I31" s="147"/>
    </row>
    <row r="32" spans="1:9" s="28" customFormat="1" ht="15">
      <c r="A32" s="67"/>
      <c r="B32" s="67"/>
      <c r="C32" s="151" t="s">
        <v>76</v>
      </c>
      <c r="D32" s="67"/>
      <c r="E32" s="67"/>
      <c r="F32" s="557"/>
      <c r="G32" s="558"/>
      <c r="H32" s="67"/>
      <c r="I32" s="147"/>
    </row>
    <row r="33" spans="1:9" s="28" customFormat="1" ht="15">
      <c r="A33" s="67"/>
      <c r="B33" s="67"/>
      <c r="C33" s="151" t="s">
        <v>51</v>
      </c>
      <c r="D33" s="67"/>
      <c r="E33" s="67"/>
      <c r="F33" s="557"/>
      <c r="G33" s="558"/>
      <c r="H33" s="67"/>
      <c r="I33" s="147"/>
    </row>
    <row r="34" spans="1:9" s="28" customFormat="1" ht="15">
      <c r="A34" s="67"/>
      <c r="B34" s="67"/>
      <c r="C34" s="151" t="s">
        <v>52</v>
      </c>
      <c r="D34" s="67"/>
      <c r="E34" s="67"/>
      <c r="F34" s="557"/>
      <c r="G34" s="558"/>
      <c r="H34" s="67"/>
      <c r="I34" s="147"/>
    </row>
    <row r="35" spans="1:9" s="28" customFormat="1" ht="15">
      <c r="A35" s="67"/>
      <c r="B35" s="67"/>
      <c r="C35" s="151" t="s">
        <v>86</v>
      </c>
      <c r="D35" s="67"/>
      <c r="E35" s="67"/>
      <c r="F35" s="557"/>
      <c r="G35" s="558"/>
      <c r="H35" s="67"/>
      <c r="I35" s="147"/>
    </row>
    <row r="36" spans="1:8" ht="15">
      <c r="A36" s="73"/>
      <c r="B36" s="73"/>
      <c r="C36" s="151" t="s">
        <v>53</v>
      </c>
      <c r="D36" s="73"/>
      <c r="E36" s="73"/>
      <c r="F36" s="557"/>
      <c r="G36" s="558"/>
      <c r="H36" s="73"/>
    </row>
    <row r="37" spans="1:8" ht="15">
      <c r="A37" s="73"/>
      <c r="B37" s="73"/>
      <c r="C37" s="151" t="s">
        <v>86</v>
      </c>
      <c r="D37" s="73"/>
      <c r="E37" s="73"/>
      <c r="F37" s="557"/>
      <c r="G37" s="558"/>
      <c r="H37" s="73"/>
    </row>
    <row r="38" spans="1:8" ht="15">
      <c r="A38" s="73"/>
      <c r="B38" s="73"/>
      <c r="C38" s="151" t="s">
        <v>54</v>
      </c>
      <c r="D38" s="73"/>
      <c r="E38" s="73"/>
      <c r="F38" s="557"/>
      <c r="G38" s="558"/>
      <c r="H38" s="73"/>
    </row>
    <row r="39" spans="1:8" ht="15">
      <c r="A39" s="73"/>
      <c r="B39" s="73"/>
      <c r="C39" s="151" t="s">
        <v>86</v>
      </c>
      <c r="D39" s="73"/>
      <c r="E39" s="73"/>
      <c r="F39" s="557"/>
      <c r="G39" s="558"/>
      <c r="H39" s="73"/>
    </row>
    <row r="40" spans="1:8" ht="15">
      <c r="A40" s="73"/>
      <c r="B40" s="73"/>
      <c r="C40" s="151" t="s">
        <v>55</v>
      </c>
      <c r="D40" s="73"/>
      <c r="E40" s="73"/>
      <c r="F40" s="557"/>
      <c r="G40" s="558"/>
      <c r="H40" s="73"/>
    </row>
    <row r="41" spans="1:8" ht="15">
      <c r="A41" s="73"/>
      <c r="B41" s="73"/>
      <c r="C41" s="151" t="s">
        <v>86</v>
      </c>
      <c r="D41" s="73"/>
      <c r="E41" s="73"/>
      <c r="F41" s="557"/>
      <c r="G41" s="558"/>
      <c r="H41" s="73"/>
    </row>
    <row r="43" spans="1:9" s="130" customFormat="1" ht="30" customHeight="1">
      <c r="A43" s="473" t="s">
        <v>494</v>
      </c>
      <c r="B43" s="473"/>
      <c r="C43" s="473"/>
      <c r="D43" s="473"/>
      <c r="E43" s="473"/>
      <c r="F43" s="473"/>
      <c r="G43" s="473"/>
      <c r="H43" s="473"/>
      <c r="I43" s="1"/>
    </row>
    <row r="44" spans="3:8" ht="13.5" customHeight="1">
      <c r="C44" s="150"/>
      <c r="D44" s="150"/>
      <c r="E44" s="150"/>
      <c r="F44" s="150"/>
      <c r="G44" s="150"/>
      <c r="H44" s="150"/>
    </row>
    <row r="45" spans="1:9" ht="13.5" customHeight="1">
      <c r="A45" s="612" t="s">
        <v>120</v>
      </c>
      <c r="B45" s="612"/>
      <c r="C45" s="612"/>
      <c r="D45" s="612"/>
      <c r="E45" s="612"/>
      <c r="F45" s="612"/>
      <c r="G45" s="612"/>
      <c r="H45" s="612"/>
      <c r="I45" s="60"/>
    </row>
    <row r="46" spans="3:9" ht="13.5" customHeight="1">
      <c r="C46" s="150"/>
      <c r="D46" s="150"/>
      <c r="E46" s="150"/>
      <c r="F46" s="150"/>
      <c r="G46" s="150"/>
      <c r="H46" s="26" t="s">
        <v>70</v>
      </c>
      <c r="I46" s="152"/>
    </row>
    <row r="47" spans="1:9" ht="13.5" customHeight="1">
      <c r="A47" s="151" t="s">
        <v>2</v>
      </c>
      <c r="B47" s="151"/>
      <c r="C47" s="153"/>
      <c r="D47" s="151"/>
      <c r="E47" s="151"/>
      <c r="F47" s="151"/>
      <c r="G47" s="151"/>
      <c r="H47" s="151"/>
      <c r="I47" s="154"/>
    </row>
    <row r="48" spans="3:8" ht="13.5" customHeight="1">
      <c r="C48" s="150"/>
      <c r="D48" s="150"/>
      <c r="E48" s="150"/>
      <c r="F48" s="150"/>
      <c r="G48" s="150"/>
      <c r="H48" s="150"/>
    </row>
    <row r="49" spans="1:8" ht="28.5" customHeight="1">
      <c r="A49" s="22" t="s">
        <v>87</v>
      </c>
      <c r="B49" s="473" t="s">
        <v>200</v>
      </c>
      <c r="C49" s="473"/>
      <c r="D49" s="473"/>
      <c r="E49" s="473"/>
      <c r="F49" s="473"/>
      <c r="G49" s="473"/>
      <c r="H49" s="473"/>
    </row>
    <row r="50" spans="3:8" ht="13.5" customHeight="1">
      <c r="C50" s="150"/>
      <c r="D50" s="150"/>
      <c r="E50" s="150"/>
      <c r="F50" s="150"/>
      <c r="G50" s="150"/>
      <c r="H50" s="150"/>
    </row>
    <row r="51" spans="1:8" ht="32.25" customHeight="1">
      <c r="A51" s="438" t="s">
        <v>14</v>
      </c>
      <c r="B51" s="552" t="s">
        <v>44</v>
      </c>
      <c r="C51" s="452"/>
      <c r="D51" s="438" t="s">
        <v>111</v>
      </c>
      <c r="E51" s="438"/>
      <c r="F51" s="438" t="s">
        <v>142</v>
      </c>
      <c r="G51" s="438"/>
      <c r="H51" s="469" t="s">
        <v>201</v>
      </c>
    </row>
    <row r="52" spans="1:8" ht="39" customHeight="1">
      <c r="A52" s="438"/>
      <c r="B52" s="551"/>
      <c r="C52" s="453"/>
      <c r="D52" s="2" t="s">
        <v>88</v>
      </c>
      <c r="E52" s="40" t="s">
        <v>90</v>
      </c>
      <c r="F52" s="2" t="s">
        <v>88</v>
      </c>
      <c r="G52" s="40" t="s">
        <v>90</v>
      </c>
      <c r="H52" s="474"/>
    </row>
    <row r="53" spans="1:8" ht="13.5" customHeight="1">
      <c r="A53" s="2">
        <v>1</v>
      </c>
      <c r="B53" s="437">
        <v>2</v>
      </c>
      <c r="C53" s="426"/>
      <c r="D53" s="2">
        <v>3</v>
      </c>
      <c r="E53" s="2">
        <v>4</v>
      </c>
      <c r="F53" s="2">
        <v>5</v>
      </c>
      <c r="G53" s="2">
        <v>6</v>
      </c>
      <c r="H53" s="2">
        <v>7</v>
      </c>
    </row>
    <row r="54" spans="1:8" ht="13.5" customHeight="1">
      <c r="A54" s="4" t="s">
        <v>46</v>
      </c>
      <c r="B54" s="439" t="s">
        <v>89</v>
      </c>
      <c r="C54" s="440"/>
      <c r="D54" s="2"/>
      <c r="E54" s="2"/>
      <c r="F54" s="2"/>
      <c r="G54" s="2"/>
      <c r="H54" s="2"/>
    </row>
    <row r="55" spans="1:8" ht="13.5" customHeight="1">
      <c r="A55" s="4" t="s">
        <v>46</v>
      </c>
      <c r="B55" s="439" t="s">
        <v>74</v>
      </c>
      <c r="C55" s="440"/>
      <c r="D55" s="2"/>
      <c r="E55" s="2"/>
      <c r="F55" s="2"/>
      <c r="G55" s="2"/>
      <c r="H55" s="2"/>
    </row>
    <row r="56" spans="1:8" ht="13.5" customHeight="1">
      <c r="A56" s="4" t="s">
        <v>22</v>
      </c>
      <c r="B56" s="439" t="s">
        <v>6</v>
      </c>
      <c r="C56" s="440"/>
      <c r="D56" s="2"/>
      <c r="E56" s="2"/>
      <c r="F56" s="2"/>
      <c r="G56" s="2"/>
      <c r="H56" s="2"/>
    </row>
    <row r="57" spans="1:8" ht="13.5" customHeight="1">
      <c r="A57" s="4" t="s">
        <v>46</v>
      </c>
      <c r="B57" s="439" t="s">
        <v>75</v>
      </c>
      <c r="C57" s="440"/>
      <c r="D57" s="2"/>
      <c r="E57" s="2"/>
      <c r="F57" s="2"/>
      <c r="G57" s="2"/>
      <c r="H57" s="2"/>
    </row>
    <row r="58" spans="1:8" ht="13.5" customHeight="1">
      <c r="A58" s="4" t="s">
        <v>22</v>
      </c>
      <c r="B58" s="439" t="s">
        <v>6</v>
      </c>
      <c r="C58" s="440"/>
      <c r="D58" s="2"/>
      <c r="E58" s="2"/>
      <c r="F58" s="2"/>
      <c r="G58" s="2"/>
      <c r="H58" s="2"/>
    </row>
    <row r="59" spans="3:8" ht="13.5" customHeight="1">
      <c r="C59" s="150"/>
      <c r="D59" s="150"/>
      <c r="E59" s="150"/>
      <c r="F59" s="150"/>
      <c r="G59" s="150"/>
      <c r="H59" s="150"/>
    </row>
    <row r="60" spans="1:9" s="130" customFormat="1" ht="13.5" customHeight="1">
      <c r="A60" s="1" t="s">
        <v>116</v>
      </c>
      <c r="B60" s="1"/>
      <c r="C60" s="150"/>
      <c r="D60" s="150"/>
      <c r="E60" s="150"/>
      <c r="F60" s="150"/>
      <c r="G60" s="150"/>
      <c r="H60" s="150"/>
      <c r="I60" s="1"/>
    </row>
    <row r="61" spans="1:8" ht="13.5" customHeight="1">
      <c r="A61" s="155"/>
      <c r="B61" s="155"/>
      <c r="C61" s="150"/>
      <c r="D61" s="150"/>
      <c r="E61" s="150"/>
      <c r="F61" s="150"/>
      <c r="G61" s="150"/>
      <c r="H61" s="150"/>
    </row>
    <row r="62" spans="1:9" ht="73.5" customHeight="1">
      <c r="A62" s="7" t="s">
        <v>24</v>
      </c>
      <c r="B62" s="7" t="s">
        <v>46</v>
      </c>
      <c r="C62" s="7" t="s">
        <v>48</v>
      </c>
      <c r="D62" s="7" t="s">
        <v>49</v>
      </c>
      <c r="E62" s="7" t="s">
        <v>50</v>
      </c>
      <c r="F62" s="7" t="s">
        <v>117</v>
      </c>
      <c r="G62" s="7" t="s">
        <v>112</v>
      </c>
      <c r="H62" s="7" t="s">
        <v>143</v>
      </c>
      <c r="I62" s="7" t="s">
        <v>144</v>
      </c>
    </row>
    <row r="63" spans="1:9" ht="13.5" customHeight="1">
      <c r="A63" s="7">
        <v>1</v>
      </c>
      <c r="B63" s="7">
        <v>2</v>
      </c>
      <c r="C63" s="7">
        <v>3</v>
      </c>
      <c r="D63" s="7">
        <v>4</v>
      </c>
      <c r="E63" s="7">
        <v>5</v>
      </c>
      <c r="F63" s="7">
        <v>6</v>
      </c>
      <c r="G63" s="7">
        <v>7</v>
      </c>
      <c r="H63" s="7">
        <v>8</v>
      </c>
      <c r="I63" s="7">
        <v>9</v>
      </c>
    </row>
    <row r="64" spans="1:9" ht="13.5" customHeight="1">
      <c r="A64" s="156"/>
      <c r="B64" s="156"/>
      <c r="C64" s="157" t="s">
        <v>76</v>
      </c>
      <c r="D64" s="156"/>
      <c r="E64" s="156"/>
      <c r="F64" s="156"/>
      <c r="G64" s="156"/>
      <c r="H64" s="156"/>
      <c r="I64" s="156"/>
    </row>
    <row r="65" spans="1:9" ht="13.5" customHeight="1">
      <c r="A65" s="156"/>
      <c r="B65" s="156"/>
      <c r="C65" s="157" t="s">
        <v>51</v>
      </c>
      <c r="D65" s="156"/>
      <c r="E65" s="156"/>
      <c r="F65" s="156"/>
      <c r="G65" s="156"/>
      <c r="H65" s="156"/>
      <c r="I65" s="156"/>
    </row>
    <row r="66" spans="1:9" ht="13.5" customHeight="1">
      <c r="A66" s="156"/>
      <c r="B66" s="156"/>
      <c r="C66" s="157" t="s">
        <v>52</v>
      </c>
      <c r="D66" s="156"/>
      <c r="E66" s="156"/>
      <c r="F66" s="156"/>
      <c r="G66" s="156"/>
      <c r="H66" s="156"/>
      <c r="I66" s="156"/>
    </row>
    <row r="67" spans="1:9" ht="13.5" customHeight="1">
      <c r="A67" s="156"/>
      <c r="B67" s="156"/>
      <c r="C67" s="157" t="s">
        <v>86</v>
      </c>
      <c r="D67" s="156"/>
      <c r="E67" s="156"/>
      <c r="F67" s="156"/>
      <c r="G67" s="156"/>
      <c r="H67" s="156"/>
      <c r="I67" s="156"/>
    </row>
    <row r="68" spans="1:9" ht="13.5" customHeight="1">
      <c r="A68" s="156"/>
      <c r="B68" s="156"/>
      <c r="C68" s="157" t="s">
        <v>53</v>
      </c>
      <c r="D68" s="156"/>
      <c r="E68" s="156"/>
      <c r="F68" s="156"/>
      <c r="G68" s="156"/>
      <c r="H68" s="156"/>
      <c r="I68" s="156"/>
    </row>
    <row r="69" spans="1:9" ht="13.5" customHeight="1">
      <c r="A69" s="156"/>
      <c r="B69" s="156"/>
      <c r="C69" s="157" t="s">
        <v>86</v>
      </c>
      <c r="D69" s="156"/>
      <c r="E69" s="156"/>
      <c r="F69" s="156"/>
      <c r="G69" s="156"/>
      <c r="H69" s="156"/>
      <c r="I69" s="156"/>
    </row>
    <row r="70" spans="1:9" ht="13.5" customHeight="1">
      <c r="A70" s="156"/>
      <c r="B70" s="156"/>
      <c r="C70" s="157" t="s">
        <v>54</v>
      </c>
      <c r="D70" s="156"/>
      <c r="E70" s="156"/>
      <c r="F70" s="156"/>
      <c r="G70" s="156"/>
      <c r="H70" s="156"/>
      <c r="I70" s="156"/>
    </row>
    <row r="71" spans="1:9" ht="13.5" customHeight="1">
      <c r="A71" s="156"/>
      <c r="B71" s="156"/>
      <c r="C71" s="157" t="s">
        <v>86</v>
      </c>
      <c r="D71" s="156"/>
      <c r="E71" s="156"/>
      <c r="F71" s="156"/>
      <c r="G71" s="156"/>
      <c r="H71" s="156"/>
      <c r="I71" s="156"/>
    </row>
    <row r="72" spans="1:9" ht="13.5" customHeight="1">
      <c r="A72" s="156"/>
      <c r="B72" s="156"/>
      <c r="C72" s="157" t="s">
        <v>55</v>
      </c>
      <c r="D72" s="156"/>
      <c r="E72" s="156"/>
      <c r="F72" s="156"/>
      <c r="G72" s="156"/>
      <c r="H72" s="156"/>
      <c r="I72" s="156"/>
    </row>
    <row r="73" spans="1:9" ht="13.5" customHeight="1">
      <c r="A73" s="156"/>
      <c r="B73" s="156"/>
      <c r="C73" s="157" t="s">
        <v>86</v>
      </c>
      <c r="D73" s="156"/>
      <c r="E73" s="156"/>
      <c r="F73" s="156"/>
      <c r="G73" s="156"/>
      <c r="H73" s="156"/>
      <c r="I73" s="156"/>
    </row>
    <row r="74" spans="1:2" ht="13.5" customHeight="1">
      <c r="A74" s="158"/>
      <c r="B74" s="158"/>
    </row>
    <row r="75" spans="1:8" ht="29.25" customHeight="1">
      <c r="A75" s="473" t="s">
        <v>145</v>
      </c>
      <c r="B75" s="473"/>
      <c r="C75" s="473"/>
      <c r="D75" s="473"/>
      <c r="E75" s="473"/>
      <c r="F75" s="473"/>
      <c r="G75" s="473"/>
      <c r="H75" s="473"/>
    </row>
    <row r="76" spans="1:8" ht="13.5" customHeight="1">
      <c r="A76" s="155"/>
      <c r="B76" s="155"/>
      <c r="C76" s="150"/>
      <c r="D76" s="150"/>
      <c r="E76" s="150"/>
      <c r="F76" s="150"/>
      <c r="G76" s="150"/>
      <c r="H76" s="150"/>
    </row>
    <row r="77" spans="1:8" ht="13.5" customHeight="1">
      <c r="A77" s="612" t="s">
        <v>121</v>
      </c>
      <c r="B77" s="612"/>
      <c r="C77" s="612"/>
      <c r="D77" s="612"/>
      <c r="E77" s="612"/>
      <c r="F77" s="612"/>
      <c r="G77" s="612"/>
      <c r="H77" s="612"/>
    </row>
    <row r="78" spans="1:8" ht="13.5" customHeight="1">
      <c r="A78" s="155"/>
      <c r="B78" s="155"/>
      <c r="C78" s="150"/>
      <c r="D78" s="150"/>
      <c r="E78" s="150"/>
      <c r="F78" s="150"/>
      <c r="G78" s="150"/>
      <c r="H78" s="150"/>
    </row>
    <row r="79" spans="1:9" ht="13.5" customHeight="1">
      <c r="A79" s="159"/>
      <c r="B79" s="159"/>
      <c r="C79" s="160"/>
      <c r="D79" s="159"/>
      <c r="E79" s="159"/>
      <c r="F79" s="159"/>
      <c r="G79" s="159"/>
      <c r="H79" s="159"/>
      <c r="I79" s="26" t="s">
        <v>70</v>
      </c>
    </row>
    <row r="80" spans="1:9" s="29" customFormat="1" ht="13.5" customHeight="1">
      <c r="A80" s="73"/>
      <c r="B80" s="73"/>
      <c r="C80" s="161" t="s">
        <v>2</v>
      </c>
      <c r="D80" s="162"/>
      <c r="E80" s="162"/>
      <c r="F80" s="613"/>
      <c r="G80" s="614"/>
      <c r="H80" s="162"/>
      <c r="I80" s="162"/>
    </row>
    <row r="81" spans="1:9" ht="53.25" customHeight="1">
      <c r="A81" s="615" t="s">
        <v>148</v>
      </c>
      <c r="B81" s="616"/>
      <c r="C81" s="616"/>
      <c r="D81" s="616"/>
      <c r="E81" s="616"/>
      <c r="F81" s="616"/>
      <c r="G81" s="616"/>
      <c r="H81" s="616"/>
      <c r="I81" s="616"/>
    </row>
    <row r="82" spans="1:8" ht="44.25" customHeight="1">
      <c r="A82" s="69"/>
      <c r="B82" s="549" t="s">
        <v>118</v>
      </c>
      <c r="C82" s="549"/>
      <c r="D82" s="70"/>
      <c r="E82" s="70"/>
      <c r="F82" s="71"/>
      <c r="G82" s="434" t="s">
        <v>119</v>
      </c>
      <c r="H82" s="434"/>
    </row>
    <row r="83" spans="4:8" ht="15">
      <c r="D83" s="448" t="s">
        <v>8</v>
      </c>
      <c r="E83" s="448"/>
      <c r="G83" s="447" t="s">
        <v>34</v>
      </c>
      <c r="H83" s="447"/>
    </row>
    <row r="84" spans="1:8" ht="36" customHeight="1">
      <c r="A84" s="69"/>
      <c r="B84" s="617" t="s">
        <v>41</v>
      </c>
      <c r="C84" s="617"/>
      <c r="D84" s="70"/>
      <c r="E84" s="70"/>
      <c r="F84" s="71"/>
      <c r="G84" s="434" t="s">
        <v>42</v>
      </c>
      <c r="H84" s="434"/>
    </row>
    <row r="85" spans="1:8" ht="16.5">
      <c r="A85" s="72"/>
      <c r="B85" s="72"/>
      <c r="D85" s="448" t="s">
        <v>8</v>
      </c>
      <c r="E85" s="448"/>
      <c r="G85" s="447" t="s">
        <v>34</v>
      </c>
      <c r="H85" s="447"/>
    </row>
    <row r="86" ht="0.75" customHeight="1"/>
    <row r="87" spans="1:8" ht="36" customHeight="1">
      <c r="A87" s="69"/>
      <c r="B87" s="617"/>
      <c r="C87" s="617"/>
      <c r="D87" s="70"/>
      <c r="E87" s="70"/>
      <c r="F87" s="71"/>
      <c r="G87" s="434"/>
      <c r="H87" s="434"/>
    </row>
    <row r="88" spans="1:8" ht="16.5">
      <c r="A88" s="72"/>
      <c r="B88" s="72"/>
      <c r="D88" s="448"/>
      <c r="E88" s="448"/>
      <c r="G88" s="447"/>
      <c r="H88" s="447"/>
    </row>
  </sheetData>
  <sheetProtection/>
  <mergeCells count="62">
    <mergeCell ref="B87:C87"/>
    <mergeCell ref="G87:H87"/>
    <mergeCell ref="D88:E88"/>
    <mergeCell ref="G88:H88"/>
    <mergeCell ref="D83:E83"/>
    <mergeCell ref="G83:H83"/>
    <mergeCell ref="B84:C84"/>
    <mergeCell ref="G84:H84"/>
    <mergeCell ref="D85:E85"/>
    <mergeCell ref="G85:H85"/>
    <mergeCell ref="A75:H75"/>
    <mergeCell ref="A77:H77"/>
    <mergeCell ref="F80:G80"/>
    <mergeCell ref="A81:I81"/>
    <mergeCell ref="B82:C82"/>
    <mergeCell ref="G82:H82"/>
    <mergeCell ref="B53:C53"/>
    <mergeCell ref="B54:C54"/>
    <mergeCell ref="B55:C55"/>
    <mergeCell ref="B56:C56"/>
    <mergeCell ref="B57:C57"/>
    <mergeCell ref="B58:C58"/>
    <mergeCell ref="F41:G41"/>
    <mergeCell ref="A43:H43"/>
    <mergeCell ref="A45:H45"/>
    <mergeCell ref="B49:H49"/>
    <mergeCell ref="A51:A52"/>
    <mergeCell ref="B51:C52"/>
    <mergeCell ref="D51:E51"/>
    <mergeCell ref="F51:G51"/>
    <mergeCell ref="H51:H52"/>
    <mergeCell ref="F35:G35"/>
    <mergeCell ref="F36:G36"/>
    <mergeCell ref="F37:G37"/>
    <mergeCell ref="F38:G38"/>
    <mergeCell ref="F39:G39"/>
    <mergeCell ref="F40:G40"/>
    <mergeCell ref="B26:C26"/>
    <mergeCell ref="F30:G30"/>
    <mergeCell ref="F31:G31"/>
    <mergeCell ref="F32:G32"/>
    <mergeCell ref="F33:G33"/>
    <mergeCell ref="F34:G34"/>
    <mergeCell ref="H16:H17"/>
    <mergeCell ref="B18:C18"/>
    <mergeCell ref="B19:C19"/>
    <mergeCell ref="B23:C23"/>
    <mergeCell ref="B24:C24"/>
    <mergeCell ref="B25:C25"/>
    <mergeCell ref="B20:C20"/>
    <mergeCell ref="B22:C22"/>
    <mergeCell ref="B21:C21"/>
    <mergeCell ref="A7:H7"/>
    <mergeCell ref="C9:E9"/>
    <mergeCell ref="C10:E10"/>
    <mergeCell ref="B12:H12"/>
    <mergeCell ref="B14:H14"/>
    <mergeCell ref="A16:A17"/>
    <mergeCell ref="B16:C17"/>
    <mergeCell ref="D16:D17"/>
    <mergeCell ref="E16:E17"/>
    <mergeCell ref="F16:G16"/>
  </mergeCells>
  <printOptions horizontalCentered="1"/>
  <pageMargins left="0" right="0" top="0" bottom="0" header="0" footer="0"/>
  <pageSetup fitToHeight="2" horizontalDpi="600" verticalDpi="600" orientation="landscape" paperSize="9" scale="72" r:id="rId1"/>
  <rowBreaks count="2" manualBreakCount="2">
    <brk id="43" max="8" man="1"/>
    <brk id="85" max="8" man="1"/>
  </rowBreaks>
</worksheet>
</file>

<file path=xl/worksheets/sheet2.xml><?xml version="1.0" encoding="utf-8"?>
<worksheet xmlns="http://schemas.openxmlformats.org/spreadsheetml/2006/main" xmlns:r="http://schemas.openxmlformats.org/officeDocument/2006/relationships">
  <sheetPr>
    <tabColor theme="3" tint="-0.24997000396251678"/>
  </sheetPr>
  <dimension ref="A1:O60"/>
  <sheetViews>
    <sheetView view="pageBreakPreview" zoomScale="85" zoomScaleNormal="75" zoomScaleSheetLayoutView="85" zoomScalePageLayoutView="0" workbookViewId="0" topLeftCell="A40">
      <selection activeCell="E56" sqref="E56"/>
    </sheetView>
  </sheetViews>
  <sheetFormatPr defaultColWidth="9.00390625" defaultRowHeight="15.75"/>
  <cols>
    <col min="1" max="1" width="6.25390625" style="119" customWidth="1"/>
    <col min="2" max="2" width="11.125" style="119" customWidth="1"/>
    <col min="3" max="3" width="29.875" style="119" customWidth="1"/>
    <col min="4" max="5" width="10.875" style="119" customWidth="1"/>
    <col min="6" max="7" width="9.75390625" style="119" customWidth="1"/>
    <col min="8" max="8" width="10.25390625" style="119" customWidth="1"/>
    <col min="9" max="9" width="12.25390625" style="119" customWidth="1"/>
    <col min="10" max="10" width="9.625" style="119" customWidth="1"/>
    <col min="11" max="11" width="9.875" style="119" customWidth="1"/>
    <col min="12" max="12" width="10.125" style="119" customWidth="1"/>
    <col min="13" max="13" width="11.625" style="119" customWidth="1"/>
    <col min="14" max="14" width="10.625" style="119" customWidth="1"/>
    <col min="15" max="16384" width="9.00390625" style="119" customWidth="1"/>
  </cols>
  <sheetData>
    <row r="1" spans="12:15" ht="15">
      <c r="L1" s="15" t="s">
        <v>138</v>
      </c>
      <c r="M1" s="15"/>
      <c r="N1" s="15"/>
      <c r="O1" s="15"/>
    </row>
    <row r="2" spans="12:15" ht="15">
      <c r="L2" s="15" t="s">
        <v>129</v>
      </c>
      <c r="M2" s="15"/>
      <c r="N2" s="15"/>
      <c r="O2" s="15"/>
    </row>
    <row r="3" spans="12:15" ht="15">
      <c r="L3" s="15" t="s">
        <v>130</v>
      </c>
      <c r="M3" s="15"/>
      <c r="N3" s="15"/>
      <c r="O3" s="15"/>
    </row>
    <row r="4" spans="12:15" ht="15">
      <c r="L4" s="15"/>
      <c r="M4" s="15"/>
      <c r="N4" s="15"/>
      <c r="O4" s="15"/>
    </row>
    <row r="5" spans="12:15" ht="15">
      <c r="L5" s="138"/>
      <c r="M5" s="15"/>
      <c r="N5" s="15"/>
      <c r="O5" s="15"/>
    </row>
    <row r="6" spans="1:14" s="15" customFormat="1" ht="18" thickBot="1">
      <c r="A6" s="433" t="s">
        <v>333</v>
      </c>
      <c r="B6" s="433"/>
      <c r="C6" s="433"/>
      <c r="D6" s="433"/>
      <c r="E6" s="433"/>
      <c r="F6" s="433"/>
      <c r="G6" s="433"/>
      <c r="H6" s="433"/>
      <c r="I6" s="433"/>
      <c r="J6" s="433"/>
      <c r="K6" s="433"/>
      <c r="L6" s="433"/>
      <c r="M6" s="433"/>
      <c r="N6" s="433"/>
    </row>
    <row r="7" s="15" customFormat="1" ht="15"/>
    <row r="8" spans="1:14" s="15" customFormat="1" ht="15">
      <c r="A8" s="11" t="s">
        <v>16</v>
      </c>
      <c r="B8" s="434" t="s">
        <v>35</v>
      </c>
      <c r="C8" s="434"/>
      <c r="D8" s="434"/>
      <c r="E8" s="434"/>
      <c r="F8" s="434"/>
      <c r="G8" s="21"/>
      <c r="H8" s="31" t="s">
        <v>146</v>
      </c>
      <c r="I8" s="32"/>
      <c r="J8" s="33"/>
      <c r="K8" s="19"/>
      <c r="L8" s="53"/>
      <c r="M8" s="53"/>
      <c r="N8" s="53"/>
    </row>
    <row r="9" spans="1:14" s="58" customFormat="1" ht="15">
      <c r="A9" s="8" t="s">
        <v>1</v>
      </c>
      <c r="B9" s="459" t="s">
        <v>45</v>
      </c>
      <c r="C9" s="459"/>
      <c r="D9" s="459"/>
      <c r="E9" s="459"/>
      <c r="F9" s="459"/>
      <c r="G9" s="463" t="s">
        <v>322</v>
      </c>
      <c r="H9" s="463"/>
      <c r="I9" s="463"/>
      <c r="J9" s="463"/>
      <c r="K9" s="463"/>
      <c r="L9" s="463"/>
      <c r="M9" s="463"/>
      <c r="N9" s="57"/>
    </row>
    <row r="10" spans="1:11" s="15" customFormat="1" ht="6" customHeight="1">
      <c r="A10" s="1"/>
      <c r="H10" s="37"/>
      <c r="I10" s="37"/>
      <c r="J10" s="59"/>
      <c r="K10" s="60"/>
    </row>
    <row r="11" spans="1:14" s="15" customFormat="1" ht="15">
      <c r="A11" s="11" t="s">
        <v>18</v>
      </c>
      <c r="B11" s="434" t="str">
        <f>B8</f>
        <v>Виконавчий комітет Сумської міської ради</v>
      </c>
      <c r="C11" s="434"/>
      <c r="D11" s="434"/>
      <c r="E11" s="434"/>
      <c r="F11" s="434"/>
      <c r="G11" s="21"/>
      <c r="H11" s="461" t="s">
        <v>147</v>
      </c>
      <c r="I11" s="461"/>
      <c r="J11" s="461"/>
      <c r="K11" s="19"/>
      <c r="L11" s="53"/>
      <c r="M11" s="53"/>
      <c r="N11" s="53"/>
    </row>
    <row r="12" spans="1:14" s="58" customFormat="1" ht="15">
      <c r="A12" s="8" t="s">
        <v>1</v>
      </c>
      <c r="B12" s="460" t="s">
        <v>503</v>
      </c>
      <c r="C12" s="460"/>
      <c r="D12" s="460"/>
      <c r="E12" s="460"/>
      <c r="F12" s="460"/>
      <c r="G12" s="61"/>
      <c r="H12" s="273" t="s">
        <v>322</v>
      </c>
      <c r="I12" s="55"/>
      <c r="J12" s="56"/>
      <c r="K12" s="54"/>
      <c r="L12" s="57"/>
      <c r="M12" s="57"/>
      <c r="N12" s="57"/>
    </row>
    <row r="13" spans="1:10" s="15" customFormat="1" ht="9" customHeight="1">
      <c r="A13" s="1"/>
      <c r="H13" s="37"/>
      <c r="I13" s="37"/>
      <c r="J13" s="37"/>
    </row>
    <row r="14" spans="1:14" s="15" customFormat="1" ht="15">
      <c r="A14" s="11" t="s">
        <v>21</v>
      </c>
      <c r="B14" s="457" t="s">
        <v>158</v>
      </c>
      <c r="C14" s="457"/>
      <c r="D14" s="457"/>
      <c r="E14" s="457"/>
      <c r="F14" s="457"/>
      <c r="G14" s="38"/>
      <c r="H14" s="461" t="s">
        <v>296</v>
      </c>
      <c r="I14" s="461"/>
      <c r="J14" s="461"/>
      <c r="K14" s="19"/>
      <c r="L14" s="53"/>
      <c r="M14" s="53"/>
      <c r="N14" s="53"/>
    </row>
    <row r="15" spans="1:14" s="15" customFormat="1" ht="39" customHeight="1">
      <c r="A15" s="8" t="s">
        <v>1</v>
      </c>
      <c r="B15" s="458" t="s">
        <v>462</v>
      </c>
      <c r="C15" s="458"/>
      <c r="D15" s="458"/>
      <c r="E15" s="458"/>
      <c r="F15" s="458"/>
      <c r="G15" s="62"/>
      <c r="H15" s="274" t="s">
        <v>336</v>
      </c>
      <c r="I15" s="274"/>
      <c r="J15" s="274"/>
      <c r="K15" s="50"/>
      <c r="L15" s="63"/>
      <c r="M15" s="63"/>
      <c r="N15" s="63"/>
    </row>
    <row r="16" spans="1:10" s="15" customFormat="1" ht="9" customHeight="1">
      <c r="A16" s="1"/>
      <c r="H16" s="60"/>
      <c r="I16" s="60"/>
      <c r="J16" s="60"/>
    </row>
    <row r="17" spans="1:2" s="15" customFormat="1" ht="15">
      <c r="A17" s="11" t="s">
        <v>23</v>
      </c>
      <c r="B17" s="1" t="s">
        <v>463</v>
      </c>
    </row>
    <row r="18" spans="1:12" s="116" customFormat="1" ht="13.5" customHeight="1">
      <c r="A18" s="117"/>
      <c r="B18" s="118"/>
      <c r="C18" s="118"/>
      <c r="D18" s="118"/>
      <c r="E18" s="118"/>
      <c r="F18" s="118"/>
      <c r="G18" s="118"/>
      <c r="H18" s="118"/>
      <c r="I18" s="118"/>
      <c r="J18" s="118"/>
      <c r="K18" s="118"/>
      <c r="L18" s="118"/>
    </row>
    <row r="19" spans="1:2" s="15" customFormat="1" ht="15">
      <c r="A19" s="11" t="s">
        <v>334</v>
      </c>
      <c r="B19" s="6" t="s">
        <v>464</v>
      </c>
    </row>
    <row r="20" spans="1:14" s="15" customFormat="1" ht="32.25" customHeight="1">
      <c r="A20" s="1"/>
      <c r="B20" s="464" t="s">
        <v>505</v>
      </c>
      <c r="C20" s="465"/>
      <c r="D20" s="465"/>
      <c r="E20" s="465"/>
      <c r="F20" s="465"/>
      <c r="G20" s="465"/>
      <c r="H20" s="465"/>
      <c r="I20" s="465"/>
      <c r="J20" s="465"/>
      <c r="K20" s="465"/>
      <c r="L20" s="465"/>
      <c r="M20" s="465"/>
      <c r="N20" s="465"/>
    </row>
    <row r="21" s="15" customFormat="1" ht="13.5" customHeight="1">
      <c r="A21" s="1"/>
    </row>
    <row r="22" spans="1:2" s="15" customFormat="1" ht="15">
      <c r="A22" s="11" t="s">
        <v>335</v>
      </c>
      <c r="B22" s="1" t="s">
        <v>465</v>
      </c>
    </row>
    <row r="23" spans="1:15" s="15" customFormat="1" ht="36.75" customHeight="1">
      <c r="A23" s="11"/>
      <c r="B23" s="462" t="s">
        <v>474</v>
      </c>
      <c r="C23" s="462"/>
      <c r="D23" s="462"/>
      <c r="E23" s="462"/>
      <c r="F23" s="462"/>
      <c r="G23" s="462"/>
      <c r="H23" s="462"/>
      <c r="I23" s="462"/>
      <c r="J23" s="462"/>
      <c r="K23" s="462"/>
      <c r="L23" s="462"/>
      <c r="M23" s="462"/>
      <c r="N23" s="462"/>
      <c r="O23" s="462"/>
    </row>
    <row r="24" spans="1:2" s="15" customFormat="1" ht="39" customHeight="1">
      <c r="A24" s="11" t="s">
        <v>337</v>
      </c>
      <c r="B24" s="1" t="s">
        <v>466</v>
      </c>
    </row>
    <row r="25" s="116" customFormat="1" ht="18" customHeight="1">
      <c r="A25" s="117"/>
    </row>
    <row r="26" spans="1:15" ht="111" customHeight="1">
      <c r="A26" s="117"/>
      <c r="B26" s="456" t="s">
        <v>295</v>
      </c>
      <c r="C26" s="456"/>
      <c r="D26" s="456"/>
      <c r="E26" s="456"/>
      <c r="F26" s="456"/>
      <c r="G26" s="456"/>
      <c r="H26" s="456"/>
      <c r="I26" s="456"/>
      <c r="J26" s="456"/>
      <c r="K26" s="456"/>
      <c r="L26" s="456"/>
      <c r="M26" s="456"/>
      <c r="N26" s="456"/>
      <c r="O26" s="456"/>
    </row>
    <row r="27" spans="1:15" s="1" customFormat="1" ht="16.5" customHeight="1">
      <c r="A27" s="121" t="s">
        <v>25</v>
      </c>
      <c r="B27" s="455" t="s">
        <v>467</v>
      </c>
      <c r="C27" s="455"/>
      <c r="D27" s="455"/>
      <c r="E27" s="455"/>
      <c r="F27" s="455"/>
      <c r="G27" s="115"/>
      <c r="H27" s="115"/>
      <c r="I27" s="115"/>
      <c r="J27" s="115"/>
      <c r="K27" s="115"/>
      <c r="L27" s="115"/>
      <c r="M27" s="115"/>
      <c r="N27" s="115"/>
      <c r="O27" s="115"/>
    </row>
    <row r="28" spans="1:15" s="1" customFormat="1" ht="8.25" customHeight="1">
      <c r="A28" s="121"/>
      <c r="B28" s="115"/>
      <c r="C28" s="115"/>
      <c r="D28" s="115"/>
      <c r="E28" s="115"/>
      <c r="F28" s="115"/>
      <c r="G28" s="115"/>
      <c r="H28" s="115"/>
      <c r="I28" s="115"/>
      <c r="J28" s="115"/>
      <c r="K28" s="115"/>
      <c r="L28" s="115"/>
      <c r="M28" s="115"/>
      <c r="N28" s="115"/>
      <c r="O28" s="115"/>
    </row>
    <row r="29" spans="1:15" s="1" customFormat="1" ht="16.5" customHeight="1">
      <c r="A29" s="121" t="s">
        <v>334</v>
      </c>
      <c r="B29" s="455" t="s">
        <v>475</v>
      </c>
      <c r="C29" s="455"/>
      <c r="D29" s="455"/>
      <c r="E29" s="455"/>
      <c r="F29" s="455"/>
      <c r="G29" s="115"/>
      <c r="H29" s="115"/>
      <c r="I29" s="115"/>
      <c r="J29" s="115"/>
      <c r="K29" s="115"/>
      <c r="L29" s="115"/>
      <c r="M29" s="115"/>
      <c r="N29" s="115"/>
      <c r="O29" s="115"/>
    </row>
    <row r="30" spans="1:15" ht="17.25" customHeight="1">
      <c r="A30" s="117"/>
      <c r="B30" s="120"/>
      <c r="C30" s="114"/>
      <c r="D30" s="120"/>
      <c r="E30" s="120"/>
      <c r="F30" s="120"/>
      <c r="G30" s="120"/>
      <c r="H30" s="120"/>
      <c r="I30" s="120"/>
      <c r="J30" s="120"/>
      <c r="K30" s="120"/>
      <c r="L30" s="120"/>
      <c r="M30" s="120"/>
      <c r="N30" s="120"/>
      <c r="O30" s="120" t="s">
        <v>106</v>
      </c>
    </row>
    <row r="31" spans="1:15" s="15" customFormat="1" ht="15.75" customHeight="1">
      <c r="A31" s="451"/>
      <c r="B31" s="438" t="s">
        <v>14</v>
      </c>
      <c r="C31" s="452" t="s">
        <v>84</v>
      </c>
      <c r="D31" s="437" t="s">
        <v>338</v>
      </c>
      <c r="E31" s="454"/>
      <c r="F31" s="454"/>
      <c r="G31" s="426"/>
      <c r="H31" s="437" t="s">
        <v>339</v>
      </c>
      <c r="I31" s="454"/>
      <c r="J31" s="454"/>
      <c r="K31" s="426"/>
      <c r="L31" s="437" t="s">
        <v>340</v>
      </c>
      <c r="M31" s="454"/>
      <c r="N31" s="454"/>
      <c r="O31" s="426"/>
    </row>
    <row r="32" spans="1:15" s="15" customFormat="1" ht="52.5">
      <c r="A32" s="451"/>
      <c r="B32" s="438"/>
      <c r="C32" s="453"/>
      <c r="D32" s="2" t="s">
        <v>3</v>
      </c>
      <c r="E32" s="2" t="s">
        <v>4</v>
      </c>
      <c r="F32" s="2" t="s">
        <v>341</v>
      </c>
      <c r="G32" s="2" t="s">
        <v>342</v>
      </c>
      <c r="H32" s="2" t="s">
        <v>3</v>
      </c>
      <c r="I32" s="2" t="s">
        <v>4</v>
      </c>
      <c r="J32" s="2" t="s">
        <v>341</v>
      </c>
      <c r="K32" s="2" t="s">
        <v>343</v>
      </c>
      <c r="L32" s="2" t="s">
        <v>3</v>
      </c>
      <c r="M32" s="2" t="s">
        <v>4</v>
      </c>
      <c r="N32" s="2" t="s">
        <v>341</v>
      </c>
      <c r="O32" s="2" t="s">
        <v>344</v>
      </c>
    </row>
    <row r="33" spans="1:15" s="15" customFormat="1" ht="15">
      <c r="A33" s="9"/>
      <c r="B33" s="2">
        <v>1</v>
      </c>
      <c r="C33" s="2">
        <v>2</v>
      </c>
      <c r="D33" s="41">
        <v>3</v>
      </c>
      <c r="E33" s="2">
        <v>4</v>
      </c>
      <c r="F33" s="2">
        <v>5</v>
      </c>
      <c r="G33" s="41">
        <v>6</v>
      </c>
      <c r="H33" s="2">
        <v>7</v>
      </c>
      <c r="I33" s="2">
        <v>8</v>
      </c>
      <c r="J33" s="41">
        <v>9</v>
      </c>
      <c r="K33" s="2">
        <v>10</v>
      </c>
      <c r="L33" s="2">
        <v>11</v>
      </c>
      <c r="M33" s="41">
        <v>12</v>
      </c>
      <c r="N33" s="2">
        <v>13</v>
      </c>
      <c r="O33" s="2">
        <v>14</v>
      </c>
    </row>
    <row r="34" spans="1:15" s="15" customFormat="1" ht="31.5" customHeight="1">
      <c r="A34" s="275"/>
      <c r="B34" s="16"/>
      <c r="C34" s="163" t="s">
        <v>158</v>
      </c>
      <c r="D34" s="125"/>
      <c r="E34" s="2"/>
      <c r="F34" s="2"/>
      <c r="G34" s="2"/>
      <c r="H34" s="2"/>
      <c r="I34" s="2"/>
      <c r="J34" s="2"/>
      <c r="K34" s="2"/>
      <c r="L34" s="2"/>
      <c r="M34" s="2"/>
      <c r="N34" s="2"/>
      <c r="O34" s="2"/>
    </row>
    <row r="35" spans="1:15" s="15" customFormat="1" ht="30" customHeight="1">
      <c r="A35" s="276"/>
      <c r="B35" s="123"/>
      <c r="C35" s="112" t="s">
        <v>0</v>
      </c>
      <c r="D35" s="82">
        <f>'2019-2(6.1;6.2;6.3,6.4)'!D14</f>
        <v>3278936.2800000003</v>
      </c>
      <c r="E35" s="82" t="s">
        <v>7</v>
      </c>
      <c r="F35" s="82" t="s">
        <v>7</v>
      </c>
      <c r="G35" s="82">
        <f>D35</f>
        <v>3278936.2800000003</v>
      </c>
      <c r="H35" s="82">
        <f>'2019-2(6.1;6.2;6.3,6.4)'!H14</f>
        <v>8797290</v>
      </c>
      <c r="I35" s="82" t="s">
        <v>7</v>
      </c>
      <c r="J35" s="82" t="s">
        <v>7</v>
      </c>
      <c r="K35" s="82">
        <f>H35</f>
        <v>8797290</v>
      </c>
      <c r="L35" s="108">
        <f>'2019-2(6.1;6.2;6.3,6.4)'!L14</f>
        <v>10063860</v>
      </c>
      <c r="M35" s="82" t="s">
        <v>7</v>
      </c>
      <c r="N35" s="82" t="s">
        <v>7</v>
      </c>
      <c r="O35" s="82">
        <f>L35</f>
        <v>10063860</v>
      </c>
    </row>
    <row r="36" spans="1:15" s="15" customFormat="1" ht="21" customHeight="1">
      <c r="A36" s="9"/>
      <c r="B36" s="124"/>
      <c r="C36" s="125" t="s">
        <v>98</v>
      </c>
      <c r="D36" s="77" t="s">
        <v>7</v>
      </c>
      <c r="E36" s="77" t="s">
        <v>40</v>
      </c>
      <c r="F36" s="77" t="s">
        <v>40</v>
      </c>
      <c r="G36" s="77" t="s">
        <v>40</v>
      </c>
      <c r="H36" s="77" t="s">
        <v>7</v>
      </c>
      <c r="I36" s="77" t="s">
        <v>40</v>
      </c>
      <c r="J36" s="77" t="s">
        <v>40</v>
      </c>
      <c r="K36" s="77" t="s">
        <v>40</v>
      </c>
      <c r="L36" s="77" t="s">
        <v>7</v>
      </c>
      <c r="M36" s="77" t="s">
        <v>40</v>
      </c>
      <c r="N36" s="77" t="s">
        <v>40</v>
      </c>
      <c r="O36" s="77" t="s">
        <v>99</v>
      </c>
    </row>
    <row r="37" spans="1:15" s="15" customFormat="1" ht="15.75" customHeight="1">
      <c r="A37" s="9"/>
      <c r="B37" s="124"/>
      <c r="C37" s="125" t="s">
        <v>65</v>
      </c>
      <c r="D37" s="77" t="s">
        <v>7</v>
      </c>
      <c r="E37" s="77" t="s">
        <v>40</v>
      </c>
      <c r="F37" s="77" t="s">
        <v>40</v>
      </c>
      <c r="G37" s="77" t="s">
        <v>40</v>
      </c>
      <c r="H37" s="77" t="s">
        <v>7</v>
      </c>
      <c r="I37" s="77" t="s">
        <v>40</v>
      </c>
      <c r="J37" s="77" t="s">
        <v>40</v>
      </c>
      <c r="K37" s="77" t="s">
        <v>40</v>
      </c>
      <c r="L37" s="77" t="s">
        <v>7</v>
      </c>
      <c r="M37" s="77" t="s">
        <v>40</v>
      </c>
      <c r="N37" s="77" t="s">
        <v>40</v>
      </c>
      <c r="O37" s="77" t="s">
        <v>99</v>
      </c>
    </row>
    <row r="38" spans="1:15" s="15" customFormat="1" ht="15">
      <c r="A38" s="60"/>
      <c r="B38" s="2">
        <v>401000</v>
      </c>
      <c r="C38" s="124" t="s">
        <v>66</v>
      </c>
      <c r="D38" s="77" t="s">
        <v>7</v>
      </c>
      <c r="E38" s="77" t="s">
        <v>40</v>
      </c>
      <c r="F38" s="77" t="s">
        <v>40</v>
      </c>
      <c r="G38" s="77" t="s">
        <v>40</v>
      </c>
      <c r="H38" s="77" t="s">
        <v>7</v>
      </c>
      <c r="I38" s="77" t="s">
        <v>40</v>
      </c>
      <c r="J38" s="77" t="s">
        <v>40</v>
      </c>
      <c r="K38" s="77" t="s">
        <v>40</v>
      </c>
      <c r="L38" s="77" t="s">
        <v>7</v>
      </c>
      <c r="M38" s="77" t="s">
        <v>40</v>
      </c>
      <c r="N38" s="77" t="s">
        <v>40</v>
      </c>
      <c r="O38" s="77" t="s">
        <v>99</v>
      </c>
    </row>
    <row r="39" spans="1:15" s="15" customFormat="1" ht="49.5" customHeight="1">
      <c r="A39" s="60"/>
      <c r="B39" s="2">
        <v>602400</v>
      </c>
      <c r="C39" s="125" t="s">
        <v>67</v>
      </c>
      <c r="D39" s="77" t="s">
        <v>15</v>
      </c>
      <c r="E39" s="77">
        <f>'2019-2(6.1;6.2;6.3,6.4)'!E14</f>
        <v>304982</v>
      </c>
      <c r="F39" s="77">
        <f>E39</f>
        <v>304982</v>
      </c>
      <c r="G39" s="77">
        <f>F39</f>
        <v>304982</v>
      </c>
      <c r="H39" s="77" t="s">
        <v>7</v>
      </c>
      <c r="I39" s="77">
        <f>'2019-2(6.1;6.2;6.3,6.4)'!I14</f>
        <v>8111000</v>
      </c>
      <c r="J39" s="77">
        <f>I39</f>
        <v>8111000</v>
      </c>
      <c r="K39" s="77">
        <f>J39</f>
        <v>8111000</v>
      </c>
      <c r="L39" s="77" t="s">
        <v>7</v>
      </c>
      <c r="M39" s="77">
        <f>'2019-2(6.1;6.2;6.3,6.4)'!M14</f>
        <v>3787500</v>
      </c>
      <c r="N39" s="77">
        <f>M39</f>
        <v>3787500</v>
      </c>
      <c r="O39" s="77">
        <f>M39</f>
        <v>3787500</v>
      </c>
    </row>
    <row r="40" spans="1:15" s="15" customFormat="1" ht="15.75" customHeight="1">
      <c r="A40" s="60"/>
      <c r="B40" s="2">
        <v>602100</v>
      </c>
      <c r="C40" s="125" t="s">
        <v>20</v>
      </c>
      <c r="D40" s="77" t="s">
        <v>7</v>
      </c>
      <c r="E40" s="77" t="s">
        <v>40</v>
      </c>
      <c r="F40" s="77" t="s">
        <v>40</v>
      </c>
      <c r="G40" s="77" t="s">
        <v>40</v>
      </c>
      <c r="H40" s="77" t="s">
        <v>7</v>
      </c>
      <c r="I40" s="77" t="s">
        <v>40</v>
      </c>
      <c r="J40" s="77" t="s">
        <v>40</v>
      </c>
      <c r="K40" s="77" t="s">
        <v>40</v>
      </c>
      <c r="L40" s="77" t="s">
        <v>7</v>
      </c>
      <c r="M40" s="77" t="s">
        <v>40</v>
      </c>
      <c r="N40" s="77" t="s">
        <v>40</v>
      </c>
      <c r="O40" s="77" t="str">
        <f>L40</f>
        <v>Х</v>
      </c>
    </row>
    <row r="41" spans="1:15" s="15" customFormat="1" ht="15.75" customHeight="1">
      <c r="A41" s="60"/>
      <c r="B41" s="2">
        <v>602200</v>
      </c>
      <c r="C41" s="125" t="s">
        <v>68</v>
      </c>
      <c r="D41" s="77" t="s">
        <v>7</v>
      </c>
      <c r="E41" s="77" t="s">
        <v>40</v>
      </c>
      <c r="F41" s="77" t="s">
        <v>40</v>
      </c>
      <c r="G41" s="77" t="s">
        <v>40</v>
      </c>
      <c r="H41" s="77" t="s">
        <v>7</v>
      </c>
      <c r="I41" s="77" t="s">
        <v>40</v>
      </c>
      <c r="J41" s="77" t="s">
        <v>40</v>
      </c>
      <c r="K41" s="77" t="s">
        <v>40</v>
      </c>
      <c r="L41" s="77" t="s">
        <v>7</v>
      </c>
      <c r="M41" s="77" t="s">
        <v>40</v>
      </c>
      <c r="N41" s="77" t="s">
        <v>40</v>
      </c>
      <c r="O41" s="77" t="str">
        <f>L41</f>
        <v>Х</v>
      </c>
    </row>
    <row r="42" spans="1:15" s="15" customFormat="1" ht="15.75" customHeight="1" hidden="1">
      <c r="A42" s="60"/>
      <c r="B42" s="2"/>
      <c r="C42" s="122" t="s">
        <v>75</v>
      </c>
      <c r="D42" s="77"/>
      <c r="E42" s="77"/>
      <c r="F42" s="77"/>
      <c r="G42" s="77" t="s">
        <v>40</v>
      </c>
      <c r="H42" s="77"/>
      <c r="I42" s="77"/>
      <c r="J42" s="77"/>
      <c r="K42" s="77" t="s">
        <v>40</v>
      </c>
      <c r="L42" s="77"/>
      <c r="M42" s="77"/>
      <c r="N42" s="77"/>
      <c r="O42" s="77"/>
    </row>
    <row r="43" spans="1:15" s="1" customFormat="1" ht="15">
      <c r="A43" s="84"/>
      <c r="B43" s="126"/>
      <c r="C43" s="110" t="s">
        <v>2</v>
      </c>
      <c r="D43" s="80">
        <f>D35</f>
        <v>3278936.2800000003</v>
      </c>
      <c r="E43" s="80">
        <f>E39</f>
        <v>304982</v>
      </c>
      <c r="F43" s="80">
        <f>F39</f>
        <v>304982</v>
      </c>
      <c r="G43" s="80">
        <f>G35+G39</f>
        <v>3583918.2800000003</v>
      </c>
      <c r="H43" s="80">
        <f>H35</f>
        <v>8797290</v>
      </c>
      <c r="I43" s="80">
        <f>I39</f>
        <v>8111000</v>
      </c>
      <c r="J43" s="80">
        <f>J39</f>
        <v>8111000</v>
      </c>
      <c r="K43" s="80">
        <f>K35+K39</f>
        <v>16908290</v>
      </c>
      <c r="L43" s="80">
        <f>L35</f>
        <v>10063860</v>
      </c>
      <c r="M43" s="80">
        <f>M39</f>
        <v>3787500</v>
      </c>
      <c r="N43" s="80">
        <f>N39</f>
        <v>3787500</v>
      </c>
      <c r="O43" s="80">
        <f>O35+O39</f>
        <v>13851360</v>
      </c>
    </row>
    <row r="44" spans="1:9" s="37" customFormat="1" ht="15" customHeight="1">
      <c r="A44" s="24"/>
      <c r="B44" s="24"/>
      <c r="C44" s="52"/>
      <c r="D44" s="52"/>
      <c r="E44" s="52"/>
      <c r="F44" s="52"/>
      <c r="G44" s="52"/>
      <c r="H44" s="52"/>
      <c r="I44" s="52"/>
    </row>
    <row r="45" spans="1:9" s="37" customFormat="1" ht="0.75" customHeight="1">
      <c r="A45" s="24"/>
      <c r="B45" s="24"/>
      <c r="C45" s="52"/>
      <c r="D45" s="52"/>
      <c r="E45" s="52"/>
      <c r="F45" s="52"/>
      <c r="G45" s="52"/>
      <c r="H45" s="52"/>
      <c r="I45" s="52"/>
    </row>
    <row r="46" spans="1:15" s="37" customFormat="1" ht="15" customHeight="1">
      <c r="A46" s="11" t="s">
        <v>335</v>
      </c>
      <c r="B46" s="1" t="s">
        <v>476</v>
      </c>
      <c r="C46" s="1"/>
      <c r="D46" s="15"/>
      <c r="E46" s="15"/>
      <c r="F46" s="15"/>
      <c r="G46" s="15"/>
      <c r="H46" s="15"/>
      <c r="I46" s="15"/>
      <c r="J46" s="15"/>
      <c r="K46" s="15"/>
      <c r="L46" s="15"/>
      <c r="M46" s="15"/>
      <c r="N46" s="15"/>
      <c r="O46" s="15"/>
    </row>
    <row r="47" spans="1:15" s="37" customFormat="1" ht="15" customHeight="1">
      <c r="A47" s="15"/>
      <c r="B47" s="15"/>
      <c r="C47" s="15"/>
      <c r="D47" s="15"/>
      <c r="E47" s="15"/>
      <c r="F47" s="15"/>
      <c r="G47" s="15"/>
      <c r="H47" s="15"/>
      <c r="I47" s="15"/>
      <c r="J47" s="15"/>
      <c r="K47" s="15" t="s">
        <v>106</v>
      </c>
      <c r="L47" s="15"/>
      <c r="M47" s="15"/>
      <c r="N47" s="15"/>
      <c r="O47" s="30"/>
    </row>
    <row r="48" spans="1:15" s="37" customFormat="1" ht="15" customHeight="1">
      <c r="A48" s="451"/>
      <c r="B48" s="438" t="s">
        <v>14</v>
      </c>
      <c r="C48" s="452" t="s">
        <v>84</v>
      </c>
      <c r="D48" s="437" t="s">
        <v>127</v>
      </c>
      <c r="E48" s="454"/>
      <c r="F48" s="454"/>
      <c r="G48" s="426"/>
      <c r="H48" s="437" t="s">
        <v>345</v>
      </c>
      <c r="I48" s="454"/>
      <c r="J48" s="454"/>
      <c r="K48" s="426"/>
      <c r="L48" s="451"/>
      <c r="M48" s="451"/>
      <c r="N48" s="451"/>
      <c r="O48" s="451"/>
    </row>
    <row r="49" spans="1:15" s="37" customFormat="1" ht="44.25" customHeight="1">
      <c r="A49" s="451"/>
      <c r="B49" s="438"/>
      <c r="C49" s="453"/>
      <c r="D49" s="2" t="s">
        <v>3</v>
      </c>
      <c r="E49" s="2" t="s">
        <v>4</v>
      </c>
      <c r="F49" s="2" t="s">
        <v>341</v>
      </c>
      <c r="G49" s="2" t="s">
        <v>342</v>
      </c>
      <c r="H49" s="2" t="s">
        <v>3</v>
      </c>
      <c r="I49" s="2" t="s">
        <v>4</v>
      </c>
      <c r="J49" s="2" t="s">
        <v>341</v>
      </c>
      <c r="K49" s="2" t="s">
        <v>72</v>
      </c>
      <c r="L49" s="9"/>
      <c r="M49" s="9"/>
      <c r="N49" s="9"/>
      <c r="O49" s="9"/>
    </row>
    <row r="50" spans="1:15" s="37" customFormat="1" ht="15" customHeight="1">
      <c r="A50" s="9"/>
      <c r="B50" s="2">
        <v>1</v>
      </c>
      <c r="C50" s="2">
        <v>2</v>
      </c>
      <c r="D50" s="41">
        <v>3</v>
      </c>
      <c r="E50" s="2">
        <v>4</v>
      </c>
      <c r="F50" s="2">
        <v>5</v>
      </c>
      <c r="G50" s="41">
        <v>6</v>
      </c>
      <c r="H50" s="2">
        <v>7</v>
      </c>
      <c r="I50" s="2">
        <v>8</v>
      </c>
      <c r="J50" s="41">
        <v>9</v>
      </c>
      <c r="K50" s="2">
        <v>10</v>
      </c>
      <c r="L50" s="9"/>
      <c r="M50" s="9"/>
      <c r="N50" s="9"/>
      <c r="O50" s="9"/>
    </row>
    <row r="51" spans="1:15" s="37" customFormat="1" ht="30.75" customHeight="1">
      <c r="A51" s="275"/>
      <c r="B51" s="16"/>
      <c r="C51" s="163" t="s">
        <v>158</v>
      </c>
      <c r="D51" s="78"/>
      <c r="E51" s="78"/>
      <c r="F51" s="78"/>
      <c r="G51" s="78"/>
      <c r="H51" s="78"/>
      <c r="I51" s="77"/>
      <c r="J51" s="77"/>
      <c r="K51" s="77"/>
      <c r="L51" s="9"/>
      <c r="M51" s="9"/>
      <c r="N51" s="9"/>
      <c r="O51" s="9"/>
    </row>
    <row r="52" spans="1:15" s="37" customFormat="1" ht="30.75" customHeight="1">
      <c r="A52" s="276"/>
      <c r="B52" s="123"/>
      <c r="C52" s="112" t="s">
        <v>0</v>
      </c>
      <c r="D52" s="82">
        <f>'2019-2(6.1;6.2;6.3,6.4)'!D46</f>
        <v>10738137.62</v>
      </c>
      <c r="E52" s="82" t="s">
        <v>7</v>
      </c>
      <c r="F52" s="82" t="s">
        <v>7</v>
      </c>
      <c r="G52" s="82">
        <f>D52</f>
        <v>10738137.62</v>
      </c>
      <c r="H52" s="82">
        <f>'2019-2(6.1;6.2;6.3,6.4)'!H46</f>
        <v>11328737.189099997</v>
      </c>
      <c r="I52" s="82" t="s">
        <v>7</v>
      </c>
      <c r="J52" s="82" t="s">
        <v>7</v>
      </c>
      <c r="K52" s="82">
        <f>H52</f>
        <v>11328737.189099997</v>
      </c>
      <c r="L52" s="36"/>
      <c r="M52" s="36"/>
      <c r="N52" s="36"/>
      <c r="O52" s="36"/>
    </row>
    <row r="53" spans="1:15" s="37" customFormat="1" ht="15" customHeight="1">
      <c r="A53" s="9"/>
      <c r="B53" s="124"/>
      <c r="C53" s="125" t="s">
        <v>98</v>
      </c>
      <c r="D53" s="77" t="s">
        <v>7</v>
      </c>
      <c r="E53" s="77" t="s">
        <v>40</v>
      </c>
      <c r="F53" s="77" t="s">
        <v>40</v>
      </c>
      <c r="G53" s="77" t="s">
        <v>40</v>
      </c>
      <c r="H53" s="77" t="s">
        <v>7</v>
      </c>
      <c r="I53" s="77" t="s">
        <v>40</v>
      </c>
      <c r="J53" s="77" t="s">
        <v>40</v>
      </c>
      <c r="K53" s="77" t="s">
        <v>40</v>
      </c>
      <c r="L53" s="9"/>
      <c r="M53" s="9"/>
      <c r="N53" s="9"/>
      <c r="O53" s="9"/>
    </row>
    <row r="54" spans="1:15" s="37" customFormat="1" ht="15" customHeight="1">
      <c r="A54" s="9"/>
      <c r="B54" s="124"/>
      <c r="C54" s="125" t="s">
        <v>65</v>
      </c>
      <c r="D54" s="77" t="s">
        <v>7</v>
      </c>
      <c r="E54" s="77" t="s">
        <v>40</v>
      </c>
      <c r="F54" s="77" t="s">
        <v>40</v>
      </c>
      <c r="G54" s="77" t="s">
        <v>40</v>
      </c>
      <c r="H54" s="77" t="s">
        <v>7</v>
      </c>
      <c r="I54" s="77" t="s">
        <v>40</v>
      </c>
      <c r="J54" s="77" t="s">
        <v>40</v>
      </c>
      <c r="K54" s="77" t="s">
        <v>40</v>
      </c>
      <c r="L54" s="9"/>
      <c r="M54" s="9"/>
      <c r="N54" s="9"/>
      <c r="O54" s="9"/>
    </row>
    <row r="55" spans="1:15" s="37" customFormat="1" ht="29.25" customHeight="1">
      <c r="A55" s="60"/>
      <c r="B55" s="2">
        <v>401000</v>
      </c>
      <c r="C55" s="124" t="s">
        <v>66</v>
      </c>
      <c r="D55" s="77" t="s">
        <v>15</v>
      </c>
      <c r="E55" s="77" t="s">
        <v>40</v>
      </c>
      <c r="F55" s="77" t="s">
        <v>40</v>
      </c>
      <c r="G55" s="77" t="s">
        <v>40</v>
      </c>
      <c r="H55" s="77" t="s">
        <v>7</v>
      </c>
      <c r="I55" s="77" t="s">
        <v>40</v>
      </c>
      <c r="J55" s="77" t="s">
        <v>40</v>
      </c>
      <c r="K55" s="77" t="s">
        <v>40</v>
      </c>
      <c r="L55" s="9"/>
      <c r="M55" s="9"/>
      <c r="N55" s="9"/>
      <c r="O55" s="9"/>
    </row>
    <row r="56" spans="1:15" s="37" customFormat="1" ht="43.5" customHeight="1">
      <c r="A56" s="60"/>
      <c r="B56" s="2">
        <v>602400</v>
      </c>
      <c r="C56" s="125" t="s">
        <v>67</v>
      </c>
      <c r="D56" s="77" t="s">
        <v>7</v>
      </c>
      <c r="E56" s="77">
        <f>'2019-2(6.1;6.2;6.3,6.4)'!E46</f>
        <v>4041261.5</v>
      </c>
      <c r="F56" s="77">
        <f>E56</f>
        <v>4041261.5</v>
      </c>
      <c r="G56" s="77">
        <f>E56</f>
        <v>4041261.5</v>
      </c>
      <c r="H56" s="77" t="s">
        <v>7</v>
      </c>
      <c r="I56" s="77">
        <f>'2019-2(6.1;6.2;6.3,6.4)'!I46</f>
        <v>4263530.8825</v>
      </c>
      <c r="J56" s="77">
        <f>I56</f>
        <v>4263530.8825</v>
      </c>
      <c r="K56" s="77">
        <f>I56</f>
        <v>4263530.8825</v>
      </c>
      <c r="L56" s="9"/>
      <c r="M56" s="9"/>
      <c r="N56" s="9"/>
      <c r="O56" s="9"/>
    </row>
    <row r="57" spans="1:11" s="15" customFormat="1" ht="15" hidden="1">
      <c r="A57" s="60"/>
      <c r="B57" s="2"/>
      <c r="C57" s="122" t="s">
        <v>75</v>
      </c>
      <c r="D57" s="77" t="s">
        <v>7</v>
      </c>
      <c r="E57" s="77" t="s">
        <v>40</v>
      </c>
      <c r="F57" s="77" t="s">
        <v>40</v>
      </c>
      <c r="G57" s="77" t="s">
        <v>40</v>
      </c>
      <c r="H57" s="77" t="s">
        <v>7</v>
      </c>
      <c r="I57" s="77" t="s">
        <v>40</v>
      </c>
      <c r="J57" s="77" t="s">
        <v>40</v>
      </c>
      <c r="K57" s="77" t="s">
        <v>7</v>
      </c>
    </row>
    <row r="58" spans="1:11" s="15" customFormat="1" ht="15" hidden="1">
      <c r="A58" s="60"/>
      <c r="B58" s="2"/>
      <c r="C58" s="122" t="s">
        <v>6</v>
      </c>
      <c r="D58" s="77"/>
      <c r="E58" s="77"/>
      <c r="F58" s="77"/>
      <c r="G58" s="77"/>
      <c r="H58" s="77"/>
      <c r="I58" s="77"/>
      <c r="J58" s="77"/>
      <c r="K58" s="77"/>
    </row>
    <row r="59" spans="1:11" s="34" customFormat="1" ht="15">
      <c r="A59" s="84"/>
      <c r="B59" s="126"/>
      <c r="C59" s="110" t="s">
        <v>2</v>
      </c>
      <c r="D59" s="80">
        <f>D52</f>
        <v>10738137.62</v>
      </c>
      <c r="E59" s="80">
        <f>E56</f>
        <v>4041261.5</v>
      </c>
      <c r="F59" s="80">
        <f>F56</f>
        <v>4041261.5</v>
      </c>
      <c r="G59" s="80">
        <f>G52+G56</f>
        <v>14779399.12</v>
      </c>
      <c r="H59" s="80">
        <f>H52</f>
        <v>11328737.189099997</v>
      </c>
      <c r="I59" s="80">
        <f>I56</f>
        <v>4263530.8825</v>
      </c>
      <c r="J59" s="80">
        <f>J56</f>
        <v>4263530.8825</v>
      </c>
      <c r="K59" s="80">
        <f>K56+K52</f>
        <v>15592268.071599998</v>
      </c>
    </row>
    <row r="60" spans="1:14" s="15" customFormat="1" ht="15">
      <c r="A60" s="60"/>
      <c r="N60" s="26"/>
    </row>
    <row r="97" s="34" customFormat="1" ht="15"/>
  </sheetData>
  <sheetProtection/>
  <mergeCells count="27">
    <mergeCell ref="B23:O23"/>
    <mergeCell ref="L48:O48"/>
    <mergeCell ref="G9:M9"/>
    <mergeCell ref="A31:A32"/>
    <mergeCell ref="B31:B32"/>
    <mergeCell ref="C31:C32"/>
    <mergeCell ref="D31:G31"/>
    <mergeCell ref="H31:K31"/>
    <mergeCell ref="L31:O31"/>
    <mergeCell ref="B20:N20"/>
    <mergeCell ref="B26:O26"/>
    <mergeCell ref="A6:N6"/>
    <mergeCell ref="B14:F14"/>
    <mergeCell ref="B15:F15"/>
    <mergeCell ref="B8:F8"/>
    <mergeCell ref="B9:F9"/>
    <mergeCell ref="B12:F12"/>
    <mergeCell ref="H14:J14"/>
    <mergeCell ref="B11:F11"/>
    <mergeCell ref="H11:J11"/>
    <mergeCell ref="A48:A49"/>
    <mergeCell ref="B48:B49"/>
    <mergeCell ref="C48:C49"/>
    <mergeCell ref="D48:G48"/>
    <mergeCell ref="H48:K48"/>
    <mergeCell ref="B27:F27"/>
    <mergeCell ref="B29:F29"/>
  </mergeCells>
  <printOptions horizontalCentered="1"/>
  <pageMargins left="0" right="0" top="0.2755905511811024" bottom="0" header="0" footer="0"/>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theme="3" tint="-0.24997000396251678"/>
  </sheetPr>
  <dimension ref="A1:O63"/>
  <sheetViews>
    <sheetView view="pageBreakPreview" zoomScale="85" zoomScaleSheetLayoutView="85" zoomScalePageLayoutView="0" workbookViewId="0" topLeftCell="A49">
      <selection activeCell="E56" sqref="E56"/>
    </sheetView>
  </sheetViews>
  <sheetFormatPr defaultColWidth="9.00390625" defaultRowHeight="15.75"/>
  <cols>
    <col min="1" max="1" width="4.75390625" style="142" customWidth="1"/>
    <col min="2" max="2" width="14.00390625" style="142" customWidth="1"/>
    <col min="3" max="3" width="38.625" style="142" customWidth="1"/>
    <col min="4" max="4" width="10.75390625" style="142" customWidth="1"/>
    <col min="5" max="5" width="11.125" style="142" customWidth="1"/>
    <col min="6" max="7" width="9.625" style="142" customWidth="1"/>
    <col min="8" max="9" width="11.00390625" style="142" customWidth="1"/>
    <col min="10" max="10" width="9.875" style="142" customWidth="1"/>
    <col min="11" max="11" width="9.50390625" style="142" customWidth="1"/>
    <col min="12" max="12" width="8.875" style="142" customWidth="1"/>
    <col min="13" max="13" width="9.75390625" style="142" customWidth="1"/>
    <col min="14" max="14" width="9.875" style="142" customWidth="1"/>
    <col min="15" max="16384" width="8.75390625" style="142" customWidth="1"/>
  </cols>
  <sheetData>
    <row r="1" spans="1:2" s="1" customFormat="1" ht="24.75" customHeight="1">
      <c r="A1" s="11" t="s">
        <v>30</v>
      </c>
      <c r="B1" s="1" t="s">
        <v>346</v>
      </c>
    </row>
    <row r="2" spans="1:2" s="1" customFormat="1" ht="15">
      <c r="A2" s="11" t="s">
        <v>334</v>
      </c>
      <c r="B2" s="1" t="s">
        <v>478</v>
      </c>
    </row>
    <row r="3" spans="1:15" s="1" customFormat="1" ht="15">
      <c r="A3" s="11"/>
      <c r="O3" s="15" t="s">
        <v>70</v>
      </c>
    </row>
    <row r="4" spans="1:15" s="15" customFormat="1" ht="15">
      <c r="A4" s="451"/>
      <c r="B4" s="438" t="s">
        <v>347</v>
      </c>
      <c r="C4" s="452" t="s">
        <v>84</v>
      </c>
      <c r="D4" s="437" t="s">
        <v>338</v>
      </c>
      <c r="E4" s="454"/>
      <c r="F4" s="454"/>
      <c r="G4" s="426"/>
      <c r="H4" s="437" t="s">
        <v>339</v>
      </c>
      <c r="I4" s="454"/>
      <c r="J4" s="454"/>
      <c r="K4" s="426"/>
      <c r="L4" s="437" t="s">
        <v>340</v>
      </c>
      <c r="M4" s="454"/>
      <c r="N4" s="454"/>
      <c r="O4" s="426"/>
    </row>
    <row r="5" spans="1:15" s="15" customFormat="1" ht="71.25" customHeight="1">
      <c r="A5" s="451"/>
      <c r="B5" s="438"/>
      <c r="C5" s="453"/>
      <c r="D5" s="2" t="s">
        <v>3</v>
      </c>
      <c r="E5" s="2" t="s">
        <v>4</v>
      </c>
      <c r="F5" s="2" t="s">
        <v>341</v>
      </c>
      <c r="G5" s="2" t="s">
        <v>342</v>
      </c>
      <c r="H5" s="2" t="s">
        <v>3</v>
      </c>
      <c r="I5" s="2" t="s">
        <v>4</v>
      </c>
      <c r="J5" s="2" t="s">
        <v>341</v>
      </c>
      <c r="K5" s="2" t="s">
        <v>343</v>
      </c>
      <c r="L5" s="2" t="s">
        <v>3</v>
      </c>
      <c r="M5" s="2" t="s">
        <v>4</v>
      </c>
      <c r="N5" s="2" t="s">
        <v>341</v>
      </c>
      <c r="O5" s="2" t="s">
        <v>348</v>
      </c>
    </row>
    <row r="6" spans="1:15" s="15" customFormat="1" ht="36.75" customHeight="1">
      <c r="A6" s="277"/>
      <c r="B6" s="137"/>
      <c r="C6" s="189" t="s">
        <v>158</v>
      </c>
      <c r="D6" s="41"/>
      <c r="E6" s="2"/>
      <c r="F6" s="111"/>
      <c r="G6" s="41"/>
      <c r="H6" s="2"/>
      <c r="I6" s="111"/>
      <c r="J6" s="41"/>
      <c r="K6" s="2"/>
      <c r="L6" s="111"/>
      <c r="M6" s="41"/>
      <c r="N6" s="2"/>
      <c r="O6" s="111"/>
    </row>
    <row r="7" spans="1:15" s="15" customFormat="1" ht="15.75" customHeight="1">
      <c r="A7" s="276"/>
      <c r="B7" s="2">
        <v>2210</v>
      </c>
      <c r="C7" s="4" t="s">
        <v>93</v>
      </c>
      <c r="D7" s="77">
        <v>35000</v>
      </c>
      <c r="E7" s="77"/>
      <c r="F7" s="77"/>
      <c r="G7" s="77">
        <f>D7+E7</f>
        <v>35000</v>
      </c>
      <c r="H7" s="77">
        <f>1044300</f>
        <v>1044300</v>
      </c>
      <c r="I7" s="77"/>
      <c r="J7" s="77"/>
      <c r="K7" s="77">
        <f>H7+I7</f>
        <v>1044300</v>
      </c>
      <c r="L7" s="77">
        <f>478000</f>
        <v>478000</v>
      </c>
      <c r="M7" s="77"/>
      <c r="N7" s="77"/>
      <c r="O7" s="77">
        <f>L7</f>
        <v>478000</v>
      </c>
    </row>
    <row r="8" spans="1:15" s="15" customFormat="1" ht="18" customHeight="1">
      <c r="A8" s="9"/>
      <c r="B8" s="2">
        <v>2240</v>
      </c>
      <c r="C8" s="4" t="s">
        <v>149</v>
      </c>
      <c r="D8" s="77">
        <f>162608.58</f>
        <v>162608.58</v>
      </c>
      <c r="E8" s="77"/>
      <c r="F8" s="77"/>
      <c r="G8" s="77">
        <f aca="true" t="shared" si="0" ref="G8:G13">D8+E8</f>
        <v>162608.58</v>
      </c>
      <c r="H8" s="77">
        <f>7752990</f>
        <v>7752990</v>
      </c>
      <c r="I8" s="77"/>
      <c r="J8" s="77"/>
      <c r="K8" s="77">
        <f aca="true" t="shared" si="1" ref="K8:K14">H8+I8</f>
        <v>7752990</v>
      </c>
      <c r="L8" s="77">
        <f>9585860</f>
        <v>9585860</v>
      </c>
      <c r="M8" s="77"/>
      <c r="N8" s="77"/>
      <c r="O8" s="77">
        <f>L8</f>
        <v>9585860</v>
      </c>
    </row>
    <row r="9" spans="1:15" s="15" customFormat="1" ht="27.75" customHeight="1">
      <c r="A9" s="9"/>
      <c r="B9" s="2">
        <v>2610</v>
      </c>
      <c r="C9" s="4" t="s">
        <v>155</v>
      </c>
      <c r="D9" s="77">
        <f>3081327.7</f>
        <v>3081327.7</v>
      </c>
      <c r="E9" s="77"/>
      <c r="F9" s="77"/>
      <c r="G9" s="77">
        <f t="shared" si="0"/>
        <v>3081327.7</v>
      </c>
      <c r="H9" s="77"/>
      <c r="I9" s="77"/>
      <c r="J9" s="77"/>
      <c r="K9" s="77">
        <f t="shared" si="1"/>
        <v>0</v>
      </c>
      <c r="L9" s="77"/>
      <c r="M9" s="77"/>
      <c r="N9" s="77"/>
      <c r="O9" s="77">
        <f>L9</f>
        <v>0</v>
      </c>
    </row>
    <row r="10" spans="1:15" s="15" customFormat="1" ht="28.5" customHeight="1">
      <c r="A10" s="60"/>
      <c r="B10" s="2">
        <v>3110</v>
      </c>
      <c r="C10" s="4" t="s">
        <v>94</v>
      </c>
      <c r="D10" s="77"/>
      <c r="E10" s="77"/>
      <c r="F10" s="77">
        <f>E10</f>
        <v>0</v>
      </c>
      <c r="G10" s="77">
        <f t="shared" si="0"/>
        <v>0</v>
      </c>
      <c r="H10" s="77"/>
      <c r="I10" s="78">
        <f>7631000</f>
        <v>7631000</v>
      </c>
      <c r="J10" s="78">
        <f>I10</f>
        <v>7631000</v>
      </c>
      <c r="K10" s="77">
        <f t="shared" si="1"/>
        <v>7631000</v>
      </c>
      <c r="L10" s="77"/>
      <c r="M10" s="77">
        <v>3527500</v>
      </c>
      <c r="N10" s="77">
        <f>M10</f>
        <v>3527500</v>
      </c>
      <c r="O10" s="77">
        <f>M10</f>
        <v>3527500</v>
      </c>
    </row>
    <row r="11" spans="1:15" s="15" customFormat="1" ht="28.5" customHeight="1">
      <c r="A11" s="60"/>
      <c r="B11" s="2">
        <v>3122</v>
      </c>
      <c r="C11" s="4" t="s">
        <v>284</v>
      </c>
      <c r="D11" s="77"/>
      <c r="E11" s="77"/>
      <c r="F11" s="77">
        <f>E11</f>
        <v>0</v>
      </c>
      <c r="G11" s="77">
        <f t="shared" si="0"/>
        <v>0</v>
      </c>
      <c r="H11" s="77"/>
      <c r="I11" s="78"/>
      <c r="J11" s="78">
        <f>I11</f>
        <v>0</v>
      </c>
      <c r="K11" s="77">
        <f t="shared" si="1"/>
        <v>0</v>
      </c>
      <c r="L11" s="77"/>
      <c r="M11" s="77"/>
      <c r="N11" s="77">
        <f>M11</f>
        <v>0</v>
      </c>
      <c r="O11" s="77">
        <f>M11</f>
        <v>0</v>
      </c>
    </row>
    <row r="12" spans="1:15" s="15" customFormat="1" ht="24" customHeight="1">
      <c r="A12" s="60"/>
      <c r="B12" s="2">
        <v>3132</v>
      </c>
      <c r="C12" s="4" t="s">
        <v>256</v>
      </c>
      <c r="D12" s="77"/>
      <c r="E12" s="77"/>
      <c r="F12" s="77">
        <f>E12</f>
        <v>0</v>
      </c>
      <c r="G12" s="77">
        <f t="shared" si="0"/>
        <v>0</v>
      </c>
      <c r="H12" s="77"/>
      <c r="I12" s="78">
        <v>480000</v>
      </c>
      <c r="J12" s="78">
        <f>I12</f>
        <v>480000</v>
      </c>
      <c r="K12" s="77">
        <f t="shared" si="1"/>
        <v>480000</v>
      </c>
      <c r="L12" s="77"/>
      <c r="M12" s="77">
        <v>260000</v>
      </c>
      <c r="N12" s="77">
        <f>M12</f>
        <v>260000</v>
      </c>
      <c r="O12" s="77">
        <f>M12</f>
        <v>260000</v>
      </c>
    </row>
    <row r="13" spans="1:15" s="15" customFormat="1" ht="30" customHeight="1">
      <c r="A13" s="60"/>
      <c r="B13" s="2">
        <v>3210</v>
      </c>
      <c r="C13" s="4" t="s">
        <v>156</v>
      </c>
      <c r="D13" s="77"/>
      <c r="E13" s="77">
        <f>304982</f>
        <v>304982</v>
      </c>
      <c r="F13" s="77">
        <f>E13</f>
        <v>304982</v>
      </c>
      <c r="G13" s="77">
        <f t="shared" si="0"/>
        <v>304982</v>
      </c>
      <c r="H13" s="77"/>
      <c r="I13" s="78"/>
      <c r="J13" s="78">
        <f>I13</f>
        <v>0</v>
      </c>
      <c r="K13" s="77">
        <f t="shared" si="1"/>
        <v>0</v>
      </c>
      <c r="L13" s="77"/>
      <c r="M13" s="77"/>
      <c r="N13" s="77">
        <f>M13</f>
        <v>0</v>
      </c>
      <c r="O13" s="77">
        <f>M13</f>
        <v>0</v>
      </c>
    </row>
    <row r="14" spans="1:15" s="1" customFormat="1" ht="15.75" customHeight="1">
      <c r="A14" s="130"/>
      <c r="B14" s="16"/>
      <c r="C14" s="83" t="s">
        <v>2</v>
      </c>
      <c r="D14" s="80">
        <f>SUM(D7:D13)</f>
        <v>3278936.2800000003</v>
      </c>
      <c r="E14" s="80">
        <f aca="true" t="shared" si="2" ref="E14:O14">SUM(E7:E13)</f>
        <v>304982</v>
      </c>
      <c r="F14" s="80">
        <f t="shared" si="2"/>
        <v>304982</v>
      </c>
      <c r="G14" s="80">
        <f t="shared" si="2"/>
        <v>3583918.2800000003</v>
      </c>
      <c r="H14" s="80">
        <f t="shared" si="2"/>
        <v>8797290</v>
      </c>
      <c r="I14" s="80">
        <f t="shared" si="2"/>
        <v>8111000</v>
      </c>
      <c r="J14" s="80">
        <f t="shared" si="2"/>
        <v>8111000</v>
      </c>
      <c r="K14" s="80">
        <f t="shared" si="1"/>
        <v>16908290</v>
      </c>
      <c r="L14" s="80">
        <f t="shared" si="2"/>
        <v>10063860</v>
      </c>
      <c r="M14" s="80">
        <f t="shared" si="2"/>
        <v>3787500</v>
      </c>
      <c r="N14" s="80">
        <f t="shared" si="2"/>
        <v>3787500</v>
      </c>
      <c r="O14" s="80">
        <f t="shared" si="2"/>
        <v>13851360</v>
      </c>
    </row>
    <row r="15" spans="1:15" s="1" customFormat="1" ht="15">
      <c r="A15" s="84"/>
      <c r="B15" s="127"/>
      <c r="C15" s="127"/>
      <c r="D15" s="128"/>
      <c r="E15" s="128"/>
      <c r="F15" s="128"/>
      <c r="G15" s="129"/>
      <c r="H15" s="128"/>
      <c r="I15" s="128"/>
      <c r="J15" s="128"/>
      <c r="K15" s="128"/>
      <c r="L15" s="128"/>
      <c r="M15" s="128"/>
      <c r="N15" s="128"/>
      <c r="O15" s="128"/>
    </row>
    <row r="16" spans="1:2" s="15" customFormat="1" ht="15">
      <c r="A16" s="12" t="s">
        <v>335</v>
      </c>
      <c r="B16" s="6" t="s">
        <v>477</v>
      </c>
    </row>
    <row r="17" spans="1:15" s="1" customFormat="1" ht="15">
      <c r="A17" s="11"/>
      <c r="O17" s="15" t="s">
        <v>70</v>
      </c>
    </row>
    <row r="18" spans="1:15" s="15" customFormat="1" ht="15">
      <c r="A18" s="451"/>
      <c r="B18" s="438" t="s">
        <v>349</v>
      </c>
      <c r="C18" s="452" t="s">
        <v>84</v>
      </c>
      <c r="D18" s="437" t="s">
        <v>338</v>
      </c>
      <c r="E18" s="454"/>
      <c r="F18" s="454"/>
      <c r="G18" s="426"/>
      <c r="H18" s="437" t="s">
        <v>125</v>
      </c>
      <c r="I18" s="454"/>
      <c r="J18" s="454"/>
      <c r="K18" s="426"/>
      <c r="L18" s="437" t="s">
        <v>126</v>
      </c>
      <c r="M18" s="454"/>
      <c r="N18" s="454"/>
      <c r="O18" s="426"/>
    </row>
    <row r="19" spans="1:15" s="15" customFormat="1" ht="52.5">
      <c r="A19" s="451"/>
      <c r="B19" s="438"/>
      <c r="C19" s="453"/>
      <c r="D19" s="2" t="s">
        <v>3</v>
      </c>
      <c r="E19" s="2" t="s">
        <v>4</v>
      </c>
      <c r="F19" s="2" t="s">
        <v>341</v>
      </c>
      <c r="G19" s="2" t="s">
        <v>342</v>
      </c>
      <c r="H19" s="2" t="s">
        <v>3</v>
      </c>
      <c r="I19" s="2" t="s">
        <v>4</v>
      </c>
      <c r="J19" s="2" t="s">
        <v>341</v>
      </c>
      <c r="K19" s="2" t="s">
        <v>343</v>
      </c>
      <c r="L19" s="2" t="s">
        <v>3</v>
      </c>
      <c r="M19" s="2" t="s">
        <v>4</v>
      </c>
      <c r="N19" s="2" t="s">
        <v>341</v>
      </c>
      <c r="O19" s="2" t="s">
        <v>348</v>
      </c>
    </row>
    <row r="20" spans="1:15" s="15" customFormat="1" ht="15">
      <c r="A20" s="9"/>
      <c r="B20" s="2">
        <v>1</v>
      </c>
      <c r="C20" s="111">
        <v>2</v>
      </c>
      <c r="D20" s="41">
        <v>3</v>
      </c>
      <c r="E20" s="2">
        <v>4</v>
      </c>
      <c r="F20" s="111">
        <v>5</v>
      </c>
      <c r="G20" s="41">
        <v>6</v>
      </c>
      <c r="H20" s="2">
        <v>7</v>
      </c>
      <c r="I20" s="111">
        <v>8</v>
      </c>
      <c r="J20" s="41">
        <v>9</v>
      </c>
      <c r="K20" s="2">
        <v>10</v>
      </c>
      <c r="L20" s="111">
        <v>11</v>
      </c>
      <c r="M20" s="41">
        <v>12</v>
      </c>
      <c r="N20" s="2">
        <v>13</v>
      </c>
      <c r="O20" s="111">
        <v>14</v>
      </c>
    </row>
    <row r="21" spans="1:15" s="15" customFormat="1" ht="21" customHeight="1">
      <c r="A21" s="60"/>
      <c r="B21" s="73"/>
      <c r="C21" s="73"/>
      <c r="D21" s="2"/>
      <c r="E21" s="2"/>
      <c r="F21" s="2"/>
      <c r="G21" s="2"/>
      <c r="H21" s="2"/>
      <c r="I21" s="2"/>
      <c r="J21" s="2"/>
      <c r="K21" s="2"/>
      <c r="L21" s="2"/>
      <c r="M21" s="2"/>
      <c r="N21" s="2"/>
      <c r="O21" s="2"/>
    </row>
    <row r="22" spans="1:15" s="15" customFormat="1" ht="15.75" customHeight="1">
      <c r="A22" s="60"/>
      <c r="B22" s="73"/>
      <c r="C22" s="73"/>
      <c r="D22" s="77"/>
      <c r="E22" s="77"/>
      <c r="F22" s="77"/>
      <c r="G22" s="77"/>
      <c r="H22" s="77"/>
      <c r="I22" s="77"/>
      <c r="J22" s="77"/>
      <c r="K22" s="77"/>
      <c r="L22" s="77"/>
      <c r="M22" s="77"/>
      <c r="N22" s="77"/>
      <c r="O22" s="77"/>
    </row>
    <row r="23" spans="1:15" s="15" customFormat="1" ht="21" customHeight="1" hidden="1">
      <c r="A23" s="9"/>
      <c r="B23" s="124"/>
      <c r="C23" s="125"/>
      <c r="D23" s="77"/>
      <c r="E23" s="77"/>
      <c r="F23" s="77"/>
      <c r="G23" s="77"/>
      <c r="H23" s="77"/>
      <c r="I23" s="77"/>
      <c r="J23" s="77"/>
      <c r="K23" s="77"/>
      <c r="L23" s="77"/>
      <c r="M23" s="77"/>
      <c r="N23" s="77"/>
      <c r="O23" s="77"/>
    </row>
    <row r="24" spans="1:15" s="15" customFormat="1" ht="15.75" customHeight="1" hidden="1">
      <c r="A24" s="9"/>
      <c r="B24" s="124"/>
      <c r="C24" s="125"/>
      <c r="D24" s="77"/>
      <c r="E24" s="77"/>
      <c r="F24" s="77"/>
      <c r="G24" s="77"/>
      <c r="H24" s="77"/>
      <c r="I24" s="77"/>
      <c r="J24" s="77"/>
      <c r="K24" s="77"/>
      <c r="L24" s="77"/>
      <c r="M24" s="77"/>
      <c r="N24" s="77"/>
      <c r="O24" s="77"/>
    </row>
    <row r="25" spans="1:15" s="15" customFormat="1" ht="15" hidden="1">
      <c r="A25" s="60"/>
      <c r="B25" s="2"/>
      <c r="C25" s="124"/>
      <c r="D25" s="77"/>
      <c r="E25" s="77"/>
      <c r="F25" s="77"/>
      <c r="G25" s="77"/>
      <c r="H25" s="77"/>
      <c r="I25" s="77"/>
      <c r="J25" s="77"/>
      <c r="K25" s="77"/>
      <c r="L25" s="77"/>
      <c r="M25" s="77"/>
      <c r="N25" s="77"/>
      <c r="O25" s="77"/>
    </row>
    <row r="26" spans="1:15" s="15" customFormat="1" ht="55.5" customHeight="1" hidden="1">
      <c r="A26" s="60"/>
      <c r="B26" s="2"/>
      <c r="C26" s="125"/>
      <c r="D26" s="77"/>
      <c r="E26" s="77"/>
      <c r="F26" s="77"/>
      <c r="G26" s="77"/>
      <c r="H26" s="77"/>
      <c r="I26" s="77"/>
      <c r="J26" s="77"/>
      <c r="K26" s="77"/>
      <c r="L26" s="77"/>
      <c r="M26" s="77"/>
      <c r="N26" s="77"/>
      <c r="O26" s="77"/>
    </row>
    <row r="27" spans="1:15" s="15" customFormat="1" ht="15.75" customHeight="1" hidden="1">
      <c r="A27" s="60"/>
      <c r="B27" s="2"/>
      <c r="C27" s="125"/>
      <c r="D27" s="77"/>
      <c r="E27" s="77"/>
      <c r="F27" s="77"/>
      <c r="G27" s="77"/>
      <c r="H27" s="77"/>
      <c r="I27" s="77"/>
      <c r="J27" s="77"/>
      <c r="K27" s="77"/>
      <c r="L27" s="77"/>
      <c r="M27" s="77"/>
      <c r="N27" s="77"/>
      <c r="O27" s="77"/>
    </row>
    <row r="28" spans="1:15" s="15" customFormat="1" ht="15.75" customHeight="1" hidden="1">
      <c r="A28" s="60"/>
      <c r="B28" s="2"/>
      <c r="C28" s="125"/>
      <c r="D28" s="77"/>
      <c r="E28" s="77"/>
      <c r="F28" s="77"/>
      <c r="G28" s="77"/>
      <c r="H28" s="77"/>
      <c r="I28" s="77"/>
      <c r="J28" s="77"/>
      <c r="K28" s="77"/>
      <c r="L28" s="77"/>
      <c r="M28" s="77"/>
      <c r="N28" s="77"/>
      <c r="O28" s="77"/>
    </row>
    <row r="29" spans="1:15" s="15" customFormat="1" ht="15.75" customHeight="1" hidden="1">
      <c r="A29" s="60"/>
      <c r="B29" s="2"/>
      <c r="C29" s="122" t="s">
        <v>75</v>
      </c>
      <c r="D29" s="77"/>
      <c r="E29" s="77"/>
      <c r="F29" s="77"/>
      <c r="G29" s="77"/>
      <c r="H29" s="77"/>
      <c r="I29" s="77"/>
      <c r="J29" s="77"/>
      <c r="K29" s="77"/>
      <c r="L29" s="77"/>
      <c r="M29" s="77"/>
      <c r="N29" s="77"/>
      <c r="O29" s="77"/>
    </row>
    <row r="30" spans="1:15" s="15" customFormat="1" ht="15.75" customHeight="1" hidden="1">
      <c r="A30" s="60"/>
      <c r="B30" s="2"/>
      <c r="C30" s="122"/>
      <c r="D30" s="77"/>
      <c r="E30" s="77"/>
      <c r="F30" s="77"/>
      <c r="G30" s="77"/>
      <c r="H30" s="77"/>
      <c r="I30" s="77"/>
      <c r="J30" s="77"/>
      <c r="K30" s="77"/>
      <c r="L30" s="77"/>
      <c r="M30" s="77"/>
      <c r="N30" s="77"/>
      <c r="O30" s="77"/>
    </row>
    <row r="31" spans="1:15" s="1" customFormat="1" ht="15">
      <c r="A31" s="84"/>
      <c r="B31" s="126"/>
      <c r="C31" s="110" t="s">
        <v>2</v>
      </c>
      <c r="D31" s="80">
        <f>D22</f>
        <v>0</v>
      </c>
      <c r="E31" s="80" t="s">
        <v>40</v>
      </c>
      <c r="F31" s="80" t="s">
        <v>40</v>
      </c>
      <c r="G31" s="77" t="s">
        <v>40</v>
      </c>
      <c r="H31" s="80">
        <f>H22</f>
        <v>0</v>
      </c>
      <c r="I31" s="80" t="s">
        <v>40</v>
      </c>
      <c r="J31" s="80" t="s">
        <v>40</v>
      </c>
      <c r="K31" s="80">
        <f>K22</f>
        <v>0</v>
      </c>
      <c r="L31" s="80">
        <f>L22</f>
        <v>0</v>
      </c>
      <c r="M31" s="80" t="s">
        <v>40</v>
      </c>
      <c r="N31" s="80" t="s">
        <v>40</v>
      </c>
      <c r="O31" s="80">
        <f>O22</f>
        <v>0</v>
      </c>
    </row>
    <row r="32" ht="9.75" customHeight="1"/>
    <row r="33" spans="1:2" s="15" customFormat="1" ht="15">
      <c r="A33" s="12" t="s">
        <v>337</v>
      </c>
      <c r="B33" s="6" t="s">
        <v>479</v>
      </c>
    </row>
    <row r="34" spans="7:13" s="15" customFormat="1" ht="15">
      <c r="G34" s="30"/>
      <c r="H34" s="30"/>
      <c r="I34" s="30"/>
      <c r="J34" s="26" t="s">
        <v>70</v>
      </c>
      <c r="K34" s="30"/>
      <c r="L34" s="30"/>
      <c r="M34" s="30"/>
    </row>
    <row r="35" spans="1:15" s="15" customFormat="1" ht="15">
      <c r="A35" s="451"/>
      <c r="B35" s="438" t="s">
        <v>347</v>
      </c>
      <c r="C35" s="452" t="s">
        <v>84</v>
      </c>
      <c r="D35" s="437" t="s">
        <v>127</v>
      </c>
      <c r="E35" s="454"/>
      <c r="F35" s="454"/>
      <c r="G35" s="426"/>
      <c r="H35" s="438" t="s">
        <v>345</v>
      </c>
      <c r="I35" s="438"/>
      <c r="J35" s="438"/>
      <c r="K35" s="438"/>
      <c r="L35" s="451"/>
      <c r="M35" s="451"/>
      <c r="N35" s="451"/>
      <c r="O35" s="451"/>
    </row>
    <row r="36" spans="1:15" s="15" customFormat="1" ht="65.25" customHeight="1">
      <c r="A36" s="451"/>
      <c r="B36" s="438"/>
      <c r="C36" s="453"/>
      <c r="D36" s="2" t="s">
        <v>3</v>
      </c>
      <c r="E36" s="2" t="s">
        <v>4</v>
      </c>
      <c r="F36" s="2" t="s">
        <v>341</v>
      </c>
      <c r="G36" s="2" t="s">
        <v>342</v>
      </c>
      <c r="H36" s="2" t="s">
        <v>3</v>
      </c>
      <c r="I36" s="2" t="s">
        <v>4</v>
      </c>
      <c r="J36" s="2" t="s">
        <v>341</v>
      </c>
      <c r="K36" s="2" t="s">
        <v>343</v>
      </c>
      <c r="L36" s="9"/>
      <c r="M36" s="9"/>
      <c r="N36" s="9"/>
      <c r="O36" s="9"/>
    </row>
    <row r="37" spans="1:15" s="15" customFormat="1" ht="15">
      <c r="A37" s="9"/>
      <c r="B37" s="2">
        <v>1</v>
      </c>
      <c r="C37" s="111">
        <v>2</v>
      </c>
      <c r="D37" s="41">
        <v>3</v>
      </c>
      <c r="E37" s="2">
        <v>4</v>
      </c>
      <c r="F37" s="111">
        <v>5</v>
      </c>
      <c r="G37" s="41">
        <v>6</v>
      </c>
      <c r="H37" s="2">
        <v>7</v>
      </c>
      <c r="I37" s="2">
        <v>8</v>
      </c>
      <c r="J37" s="2">
        <v>9</v>
      </c>
      <c r="K37" s="2">
        <v>10</v>
      </c>
      <c r="L37" s="9"/>
      <c r="M37" s="9"/>
      <c r="N37" s="9"/>
      <c r="O37" s="9"/>
    </row>
    <row r="38" spans="1:15" s="15" customFormat="1" ht="34.5" customHeight="1">
      <c r="A38" s="277"/>
      <c r="B38" s="137"/>
      <c r="C38" s="189" t="s">
        <v>158</v>
      </c>
      <c r="D38" s="2"/>
      <c r="E38" s="2"/>
      <c r="F38" s="2"/>
      <c r="G38" s="2"/>
      <c r="H38" s="2"/>
      <c r="I38" s="2"/>
      <c r="J38" s="2"/>
      <c r="K38" s="2"/>
      <c r="L38" s="9"/>
      <c r="M38" s="9"/>
      <c r="N38" s="9"/>
      <c r="O38" s="9"/>
    </row>
    <row r="39" spans="1:15" s="167" customFormat="1" ht="20.25" customHeight="1">
      <c r="A39" s="60"/>
      <c r="B39" s="2">
        <v>2210</v>
      </c>
      <c r="C39" s="4" t="s">
        <v>93</v>
      </c>
      <c r="D39" s="77">
        <f>L7*1.067</f>
        <v>510026</v>
      </c>
      <c r="E39" s="77"/>
      <c r="F39" s="77"/>
      <c r="G39" s="77">
        <f>D39</f>
        <v>510026</v>
      </c>
      <c r="H39" s="77">
        <f>D39*1.055</f>
        <v>538077.4299999999</v>
      </c>
      <c r="I39" s="77"/>
      <c r="J39" s="77"/>
      <c r="K39" s="77">
        <f>H39</f>
        <v>538077.4299999999</v>
      </c>
      <c r="L39" s="190"/>
      <c r="M39" s="190"/>
      <c r="N39" s="190"/>
      <c r="O39" s="190"/>
    </row>
    <row r="40" spans="1:15" s="167" customFormat="1" ht="21.75" customHeight="1">
      <c r="A40" s="60"/>
      <c r="B40" s="2">
        <v>2240</v>
      </c>
      <c r="C40" s="4" t="s">
        <v>149</v>
      </c>
      <c r="D40" s="77">
        <f>L8*1.067-1</f>
        <v>10228111.62</v>
      </c>
      <c r="E40" s="77"/>
      <c r="F40" s="77"/>
      <c r="G40" s="77">
        <f>D40</f>
        <v>10228111.62</v>
      </c>
      <c r="H40" s="77">
        <f>D40*1.055+2</f>
        <v>10790659.759099998</v>
      </c>
      <c r="I40" s="77"/>
      <c r="J40" s="77"/>
      <c r="K40" s="77">
        <f aca="true" t="shared" si="3" ref="K40:K45">H40+I40</f>
        <v>10790659.759099998</v>
      </c>
      <c r="L40" s="190"/>
      <c r="M40" s="190"/>
      <c r="N40" s="190"/>
      <c r="O40" s="190"/>
    </row>
    <row r="41" spans="1:15" s="167" customFormat="1" ht="31.5" customHeight="1">
      <c r="A41" s="60"/>
      <c r="B41" s="2">
        <v>2610</v>
      </c>
      <c r="C41" s="4" t="s">
        <v>155</v>
      </c>
      <c r="D41" s="77">
        <f>L9*1.067</f>
        <v>0</v>
      </c>
      <c r="E41" s="77"/>
      <c r="F41" s="77"/>
      <c r="G41" s="77">
        <f>D41</f>
        <v>0</v>
      </c>
      <c r="H41" s="77">
        <f>D41*1.05</f>
        <v>0</v>
      </c>
      <c r="I41" s="77"/>
      <c r="J41" s="77"/>
      <c r="K41" s="77">
        <f t="shared" si="3"/>
        <v>0</v>
      </c>
      <c r="L41" s="190"/>
      <c r="M41" s="190"/>
      <c r="N41" s="190"/>
      <c r="O41" s="190"/>
    </row>
    <row r="42" spans="1:15" s="167" customFormat="1" ht="31.5" customHeight="1">
      <c r="A42" s="60"/>
      <c r="B42" s="2">
        <v>3110</v>
      </c>
      <c r="C42" s="4" t="s">
        <v>94</v>
      </c>
      <c r="D42" s="77"/>
      <c r="E42" s="77">
        <f>M10*1.067</f>
        <v>3763842.5</v>
      </c>
      <c r="F42" s="77">
        <f>E42</f>
        <v>3763842.5</v>
      </c>
      <c r="G42" s="77">
        <f>E42</f>
        <v>3763842.5</v>
      </c>
      <c r="H42" s="77"/>
      <c r="I42" s="77">
        <f>E42*1.055</f>
        <v>3970853.8375</v>
      </c>
      <c r="J42" s="77">
        <f>I42</f>
        <v>3970853.8375</v>
      </c>
      <c r="K42" s="77">
        <f t="shared" si="3"/>
        <v>3970853.8375</v>
      </c>
      <c r="L42" s="190"/>
      <c r="M42" s="190"/>
      <c r="N42" s="190"/>
      <c r="O42" s="190"/>
    </row>
    <row r="43" spans="1:15" s="167" customFormat="1" ht="31.5" customHeight="1">
      <c r="A43" s="60"/>
      <c r="B43" s="2">
        <v>3122</v>
      </c>
      <c r="C43" s="4" t="s">
        <v>284</v>
      </c>
      <c r="D43" s="77"/>
      <c r="E43" s="77">
        <f>M11*1.067</f>
        <v>0</v>
      </c>
      <c r="F43" s="77">
        <f>E43</f>
        <v>0</v>
      </c>
      <c r="G43" s="77">
        <f>E43</f>
        <v>0</v>
      </c>
      <c r="H43" s="77"/>
      <c r="I43" s="77">
        <f>E43*1.055</f>
        <v>0</v>
      </c>
      <c r="J43" s="77">
        <f>I43</f>
        <v>0</v>
      </c>
      <c r="K43" s="77">
        <f t="shared" si="3"/>
        <v>0</v>
      </c>
      <c r="L43" s="190"/>
      <c r="M43" s="190"/>
      <c r="N43" s="190"/>
      <c r="O43" s="190"/>
    </row>
    <row r="44" spans="1:15" s="167" customFormat="1" ht="30" customHeight="1">
      <c r="A44" s="60"/>
      <c r="B44" s="2">
        <v>3132</v>
      </c>
      <c r="C44" s="4" t="s">
        <v>256</v>
      </c>
      <c r="D44" s="77"/>
      <c r="E44" s="77">
        <f>M12*1.067-1</f>
        <v>277419</v>
      </c>
      <c r="F44" s="77">
        <f>E44</f>
        <v>277419</v>
      </c>
      <c r="G44" s="77">
        <f>E44</f>
        <v>277419</v>
      </c>
      <c r="H44" s="77"/>
      <c r="I44" s="77">
        <f>E44*1.055</f>
        <v>292677.045</v>
      </c>
      <c r="J44" s="77">
        <f>I44</f>
        <v>292677.045</v>
      </c>
      <c r="K44" s="77">
        <f t="shared" si="3"/>
        <v>292677.045</v>
      </c>
      <c r="L44" s="190"/>
      <c r="M44" s="190"/>
      <c r="N44" s="190"/>
      <c r="O44" s="190"/>
    </row>
    <row r="45" spans="1:15" s="167" customFormat="1" ht="36" customHeight="1">
      <c r="A45" s="60"/>
      <c r="B45" s="2">
        <v>3210</v>
      </c>
      <c r="C45" s="4" t="s">
        <v>156</v>
      </c>
      <c r="D45" s="77"/>
      <c r="E45" s="77">
        <f>N13*1.059</f>
        <v>0</v>
      </c>
      <c r="F45" s="77">
        <f>E45</f>
        <v>0</v>
      </c>
      <c r="G45" s="77">
        <f>E45</f>
        <v>0</v>
      </c>
      <c r="H45" s="77"/>
      <c r="I45" s="77">
        <f>E45*1.05</f>
        <v>0</v>
      </c>
      <c r="J45" s="77">
        <f>I45</f>
        <v>0</v>
      </c>
      <c r="K45" s="77">
        <f t="shared" si="3"/>
        <v>0</v>
      </c>
      <c r="L45" s="190"/>
      <c r="M45" s="190"/>
      <c r="N45" s="190"/>
      <c r="O45" s="190"/>
    </row>
    <row r="46" spans="1:15" s="167" customFormat="1" ht="15.75" customHeight="1">
      <c r="A46" s="60"/>
      <c r="B46" s="16"/>
      <c r="C46" s="83" t="s">
        <v>2</v>
      </c>
      <c r="D46" s="80">
        <f>D39+D40+D42+D41+D44+D45</f>
        <v>10738137.62</v>
      </c>
      <c r="E46" s="80">
        <f>E39+E40+E42+E41+E44+E45+E43</f>
        <v>4041261.5</v>
      </c>
      <c r="F46" s="80">
        <f>F39+F40+F42+F41+F44+F45+F43</f>
        <v>4041261.5</v>
      </c>
      <c r="G46" s="80">
        <f>G39+G40+G42+G41+G44+G45+G43+1</f>
        <v>14779400.12</v>
      </c>
      <c r="H46" s="80">
        <f>H39+H40+H42+H41+H44+H45</f>
        <v>11328737.189099997</v>
      </c>
      <c r="I46" s="80">
        <f>I39+I40+I42+I41+I44+I45+I43</f>
        <v>4263530.8825</v>
      </c>
      <c r="J46" s="80">
        <f>J39+J40+J42+J41+J44+J45+J43</f>
        <v>4263530.8825</v>
      </c>
      <c r="K46" s="80">
        <f>K39+K40+K42+K41+K44+K45+K43</f>
        <v>15592268.071599998</v>
      </c>
      <c r="L46" s="190"/>
      <c r="M46" s="190"/>
      <c r="N46" s="190"/>
      <c r="O46" s="190"/>
    </row>
    <row r="47" spans="1:15" s="1" customFormat="1" ht="15">
      <c r="A47" s="84"/>
      <c r="B47" s="127"/>
      <c r="C47" s="127"/>
      <c r="D47" s="128"/>
      <c r="E47" s="128"/>
      <c r="F47" s="128"/>
      <c r="G47" s="129"/>
      <c r="H47" s="128"/>
      <c r="I47" s="128"/>
      <c r="J47" s="128"/>
      <c r="K47" s="128"/>
      <c r="L47" s="128"/>
      <c r="M47" s="128"/>
      <c r="N47" s="128"/>
      <c r="O47" s="128"/>
    </row>
    <row r="48" spans="1:15" s="15" customFormat="1" ht="15">
      <c r="A48" s="12" t="s">
        <v>350</v>
      </c>
      <c r="B48" s="6" t="s">
        <v>480</v>
      </c>
      <c r="L48" s="60"/>
      <c r="M48" s="60"/>
      <c r="N48" s="60"/>
      <c r="O48" s="60"/>
    </row>
    <row r="49" spans="1:15" s="1" customFormat="1" ht="15">
      <c r="A49" s="11"/>
      <c r="K49" s="15" t="s">
        <v>70</v>
      </c>
      <c r="L49" s="130"/>
      <c r="M49" s="130"/>
      <c r="N49" s="130"/>
      <c r="O49" s="130"/>
    </row>
    <row r="50" spans="1:15" s="15" customFormat="1" ht="15">
      <c r="A50" s="451"/>
      <c r="B50" s="438" t="s">
        <v>349</v>
      </c>
      <c r="C50" s="452" t="s">
        <v>84</v>
      </c>
      <c r="D50" s="437" t="s">
        <v>127</v>
      </c>
      <c r="E50" s="454"/>
      <c r="F50" s="454"/>
      <c r="G50" s="426"/>
      <c r="H50" s="438" t="s">
        <v>345</v>
      </c>
      <c r="I50" s="438"/>
      <c r="J50" s="438"/>
      <c r="K50" s="438"/>
      <c r="L50" s="451"/>
      <c r="M50" s="451"/>
      <c r="N50" s="451"/>
      <c r="O50" s="451"/>
    </row>
    <row r="51" spans="1:15" s="15" customFormat="1" ht="51" customHeight="1">
      <c r="A51" s="451"/>
      <c r="B51" s="438"/>
      <c r="C51" s="453"/>
      <c r="D51" s="2" t="s">
        <v>3</v>
      </c>
      <c r="E51" s="2" t="s">
        <v>4</v>
      </c>
      <c r="F51" s="2" t="s">
        <v>341</v>
      </c>
      <c r="G51" s="2" t="s">
        <v>107</v>
      </c>
      <c r="H51" s="2" t="s">
        <v>3</v>
      </c>
      <c r="I51" s="2" t="s">
        <v>4</v>
      </c>
      <c r="J51" s="2" t="s">
        <v>341</v>
      </c>
      <c r="K51" s="2" t="s">
        <v>108</v>
      </c>
      <c r="L51" s="9"/>
      <c r="M51" s="9"/>
      <c r="N51" s="9"/>
      <c r="O51" s="9"/>
    </row>
    <row r="52" spans="1:15" s="15" customFormat="1" ht="15">
      <c r="A52" s="9"/>
      <c r="B52" s="2">
        <v>2</v>
      </c>
      <c r="C52" s="111">
        <v>3</v>
      </c>
      <c r="D52" s="41">
        <v>4</v>
      </c>
      <c r="E52" s="2">
        <v>5</v>
      </c>
      <c r="F52" s="111">
        <v>6</v>
      </c>
      <c r="G52" s="41">
        <v>7</v>
      </c>
      <c r="H52" s="2">
        <v>8</v>
      </c>
      <c r="I52" s="2">
        <v>9</v>
      </c>
      <c r="J52" s="2">
        <v>10</v>
      </c>
      <c r="K52" s="2">
        <v>11</v>
      </c>
      <c r="L52" s="9"/>
      <c r="M52" s="9"/>
      <c r="N52" s="9"/>
      <c r="O52" s="9"/>
    </row>
    <row r="53" spans="1:15" s="15" customFormat="1" ht="15">
      <c r="A53" s="9"/>
      <c r="B53" s="2"/>
      <c r="C53" s="122"/>
      <c r="D53" s="2"/>
      <c r="E53" s="2"/>
      <c r="F53" s="2"/>
      <c r="G53" s="2"/>
      <c r="H53" s="2"/>
      <c r="I53" s="2"/>
      <c r="J53" s="2"/>
      <c r="K53" s="2"/>
      <c r="L53" s="9"/>
      <c r="M53" s="9"/>
      <c r="N53" s="9"/>
      <c r="O53" s="9"/>
    </row>
    <row r="54" spans="1:15" s="15" customFormat="1" ht="15.75" customHeight="1">
      <c r="A54" s="276"/>
      <c r="B54" s="124"/>
      <c r="C54" s="125"/>
      <c r="D54" s="77"/>
      <c r="E54" s="77"/>
      <c r="F54" s="77"/>
      <c r="G54" s="77"/>
      <c r="H54" s="77"/>
      <c r="I54" s="77"/>
      <c r="J54" s="77"/>
      <c r="K54" s="77"/>
      <c r="L54" s="129"/>
      <c r="M54" s="129"/>
      <c r="N54" s="129"/>
      <c r="O54" s="129"/>
    </row>
    <row r="55" spans="1:15" s="15" customFormat="1" ht="21" customHeight="1" hidden="1">
      <c r="A55" s="9"/>
      <c r="B55" s="124"/>
      <c r="C55" s="125"/>
      <c r="D55" s="77"/>
      <c r="E55" s="77"/>
      <c r="F55" s="77"/>
      <c r="G55" s="77"/>
      <c r="H55" s="77"/>
      <c r="I55" s="77"/>
      <c r="J55" s="77"/>
      <c r="K55" s="77"/>
      <c r="L55" s="129"/>
      <c r="M55" s="129"/>
      <c r="N55" s="129"/>
      <c r="O55" s="129"/>
    </row>
    <row r="56" spans="1:15" s="15" customFormat="1" ht="15.75" customHeight="1" hidden="1">
      <c r="A56" s="9"/>
      <c r="B56" s="124"/>
      <c r="C56" s="125"/>
      <c r="D56" s="77"/>
      <c r="E56" s="77"/>
      <c r="F56" s="77"/>
      <c r="G56" s="77"/>
      <c r="H56" s="77"/>
      <c r="I56" s="77"/>
      <c r="J56" s="77"/>
      <c r="K56" s="77"/>
      <c r="L56" s="129"/>
      <c r="M56" s="129"/>
      <c r="N56" s="129"/>
      <c r="O56" s="129"/>
    </row>
    <row r="57" spans="1:15" s="15" customFormat="1" ht="15" hidden="1">
      <c r="A57" s="60"/>
      <c r="B57" s="2"/>
      <c r="C57" s="124"/>
      <c r="D57" s="77"/>
      <c r="E57" s="77"/>
      <c r="F57" s="77"/>
      <c r="G57" s="77"/>
      <c r="H57" s="77"/>
      <c r="I57" s="77"/>
      <c r="J57" s="77"/>
      <c r="K57" s="77"/>
      <c r="L57" s="129"/>
      <c r="M57" s="129"/>
      <c r="N57" s="129"/>
      <c r="O57" s="129"/>
    </row>
    <row r="58" spans="1:15" s="15" customFormat="1" ht="55.5" customHeight="1" hidden="1">
      <c r="A58" s="60"/>
      <c r="B58" s="2"/>
      <c r="C58" s="125"/>
      <c r="D58" s="77"/>
      <c r="E58" s="77"/>
      <c r="F58" s="77"/>
      <c r="G58" s="77"/>
      <c r="H58" s="77"/>
      <c r="I58" s="77"/>
      <c r="J58" s="77"/>
      <c r="K58" s="77"/>
      <c r="L58" s="129"/>
      <c r="M58" s="129"/>
      <c r="N58" s="129"/>
      <c r="O58" s="129"/>
    </row>
    <row r="59" spans="1:15" s="15" customFormat="1" ht="15.75" customHeight="1" hidden="1">
      <c r="A59" s="60"/>
      <c r="B59" s="2"/>
      <c r="C59" s="125"/>
      <c r="D59" s="77"/>
      <c r="E59" s="77"/>
      <c r="F59" s="77"/>
      <c r="G59" s="77"/>
      <c r="H59" s="77"/>
      <c r="I59" s="77"/>
      <c r="J59" s="77"/>
      <c r="K59" s="77"/>
      <c r="L59" s="129"/>
      <c r="M59" s="129"/>
      <c r="N59" s="129"/>
      <c r="O59" s="129"/>
    </row>
    <row r="60" spans="1:15" s="15" customFormat="1" ht="15.75" customHeight="1" hidden="1">
      <c r="A60" s="60"/>
      <c r="B60" s="2"/>
      <c r="C60" s="125"/>
      <c r="D60" s="77"/>
      <c r="E60" s="77"/>
      <c r="F60" s="77"/>
      <c r="G60" s="77"/>
      <c r="H60" s="77"/>
      <c r="I60" s="77"/>
      <c r="J60" s="77"/>
      <c r="K60" s="77"/>
      <c r="L60" s="129"/>
      <c r="M60" s="129"/>
      <c r="N60" s="129"/>
      <c r="O60" s="129"/>
    </row>
    <row r="61" spans="1:15" s="15" customFormat="1" ht="15.75" customHeight="1">
      <c r="A61" s="60"/>
      <c r="B61" s="2"/>
      <c r="C61" s="122"/>
      <c r="D61" s="77"/>
      <c r="E61" s="77"/>
      <c r="F61" s="77"/>
      <c r="G61" s="77"/>
      <c r="H61" s="77"/>
      <c r="I61" s="77"/>
      <c r="J61" s="77"/>
      <c r="K61" s="77"/>
      <c r="L61" s="129"/>
      <c r="M61" s="129"/>
      <c r="N61" s="129"/>
      <c r="O61" s="129"/>
    </row>
    <row r="62" spans="1:15" s="15" customFormat="1" ht="15.75" customHeight="1">
      <c r="A62" s="60"/>
      <c r="B62" s="2"/>
      <c r="C62" s="122"/>
      <c r="D62" s="77"/>
      <c r="E62" s="77"/>
      <c r="F62" s="77"/>
      <c r="G62" s="77"/>
      <c r="H62" s="77"/>
      <c r="I62" s="77"/>
      <c r="J62" s="77"/>
      <c r="K62" s="77"/>
      <c r="L62" s="129"/>
      <c r="M62" s="129"/>
      <c r="N62" s="129"/>
      <c r="O62" s="129"/>
    </row>
    <row r="63" spans="1:15" s="1" customFormat="1" ht="15">
      <c r="A63" s="84"/>
      <c r="B63" s="126"/>
      <c r="C63" s="110" t="s">
        <v>331</v>
      </c>
      <c r="D63" s="80">
        <f>D54</f>
        <v>0</v>
      </c>
      <c r="E63" s="80" t="s">
        <v>40</v>
      </c>
      <c r="F63" s="80" t="s">
        <v>40</v>
      </c>
      <c r="G63" s="77" t="s">
        <v>40</v>
      </c>
      <c r="H63" s="80">
        <f>H54</f>
        <v>0</v>
      </c>
      <c r="I63" s="80" t="s">
        <v>40</v>
      </c>
      <c r="J63" s="80" t="s">
        <v>40</v>
      </c>
      <c r="K63" s="80">
        <f>K54</f>
        <v>0</v>
      </c>
      <c r="L63" s="128"/>
      <c r="M63" s="128"/>
      <c r="N63" s="128"/>
      <c r="O63" s="128"/>
    </row>
  </sheetData>
  <sheetProtection/>
  <mergeCells count="24">
    <mergeCell ref="A35:A36"/>
    <mergeCell ref="B35:B36"/>
    <mergeCell ref="A4:A5"/>
    <mergeCell ref="B4:B5"/>
    <mergeCell ref="H35:K35"/>
    <mergeCell ref="L35:O35"/>
    <mergeCell ref="A18:A19"/>
    <mergeCell ref="B18:B19"/>
    <mergeCell ref="C18:C19"/>
    <mergeCell ref="D18:G18"/>
    <mergeCell ref="A50:A51"/>
    <mergeCell ref="B50:B51"/>
    <mergeCell ref="C50:C51"/>
    <mergeCell ref="D50:G50"/>
    <mergeCell ref="H50:K50"/>
    <mergeCell ref="L50:O50"/>
    <mergeCell ref="H18:K18"/>
    <mergeCell ref="L18:O18"/>
    <mergeCell ref="C4:C5"/>
    <mergeCell ref="D4:G4"/>
    <mergeCell ref="C35:C36"/>
    <mergeCell ref="D35:G35"/>
    <mergeCell ref="H4:K4"/>
    <mergeCell ref="L4:O4"/>
  </mergeCells>
  <printOptions horizontalCentered="1"/>
  <pageMargins left="0.2362204724409449" right="0" top="0" bottom="0" header="0" footer="0"/>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theme="3" tint="-0.24997000396251678"/>
  </sheetPr>
  <dimension ref="A1:N67"/>
  <sheetViews>
    <sheetView view="pageBreakPreview" zoomScale="85" zoomScaleSheetLayoutView="85" zoomScalePageLayoutView="0" workbookViewId="0" topLeftCell="A54">
      <selection activeCell="E56" sqref="E56"/>
    </sheetView>
  </sheetViews>
  <sheetFormatPr defaultColWidth="9.00390625" defaultRowHeight="15.75"/>
  <cols>
    <col min="1" max="1" width="8.625" style="0" customWidth="1"/>
    <col min="2" max="2" width="45.625" style="0" customWidth="1"/>
    <col min="3" max="3" width="11.125" style="0" customWidth="1"/>
    <col min="4" max="4" width="10.25390625" style="0" customWidth="1"/>
    <col min="5" max="5" width="10.75390625" style="0" customWidth="1"/>
    <col min="6" max="6" width="11.25390625" style="0" customWidth="1"/>
    <col min="7" max="7" width="11.75390625" style="0" customWidth="1"/>
    <col min="8" max="9" width="10.25390625" style="0" customWidth="1"/>
    <col min="10" max="10" width="12.25390625" style="0" customWidth="1"/>
  </cols>
  <sheetData>
    <row r="1" spans="1:14" s="15" customFormat="1" ht="15.75">
      <c r="A1" s="11" t="s">
        <v>32</v>
      </c>
      <c r="B1" s="473" t="s">
        <v>354</v>
      </c>
      <c r="C1" s="473"/>
      <c r="D1" s="473"/>
      <c r="E1" s="473"/>
      <c r="F1" s="473"/>
      <c r="G1" s="473"/>
      <c r="H1" s="473"/>
      <c r="I1" s="473"/>
      <c r="J1" s="473"/>
      <c r="K1" s="473"/>
      <c r="L1" s="473"/>
      <c r="M1" s="473"/>
      <c r="N1" s="473"/>
    </row>
    <row r="2" s="15" customFormat="1" ht="9" customHeight="1">
      <c r="B2" s="1"/>
    </row>
    <row r="3" spans="1:14" s="15" customFormat="1" ht="15.75">
      <c r="A3" s="11" t="s">
        <v>334</v>
      </c>
      <c r="B3" s="473" t="s">
        <v>355</v>
      </c>
      <c r="C3" s="473"/>
      <c r="D3" s="473"/>
      <c r="E3" s="473"/>
      <c r="F3" s="473"/>
      <c r="G3" s="473"/>
      <c r="H3" s="473"/>
      <c r="I3" s="473"/>
      <c r="J3" s="473"/>
      <c r="K3" s="473"/>
      <c r="L3" s="473"/>
      <c r="M3" s="473"/>
      <c r="N3" s="473"/>
    </row>
    <row r="4" spans="2:14" s="15" customFormat="1" ht="15.75">
      <c r="B4" s="1"/>
      <c r="N4" s="26" t="s">
        <v>70</v>
      </c>
    </row>
    <row r="5" spans="1:14" s="15" customFormat="1" ht="56.25" customHeight="1" hidden="1">
      <c r="A5" s="46"/>
      <c r="B5" s="466"/>
      <c r="C5" s="467"/>
      <c r="D5" s="467"/>
      <c r="E5" s="467"/>
      <c r="F5" s="467"/>
      <c r="G5" s="467"/>
      <c r="H5" s="467"/>
      <c r="I5" s="467"/>
      <c r="J5" s="467"/>
      <c r="K5" s="467"/>
      <c r="L5" s="467"/>
      <c r="M5" s="467"/>
      <c r="N5" s="468"/>
    </row>
    <row r="6" spans="1:14" s="135" customFormat="1" ht="26.25" customHeight="1">
      <c r="A6" s="469" t="s">
        <v>24</v>
      </c>
      <c r="B6" s="471" t="s">
        <v>351</v>
      </c>
      <c r="C6" s="437" t="s">
        <v>352</v>
      </c>
      <c r="D6" s="454"/>
      <c r="E6" s="454"/>
      <c r="F6" s="426"/>
      <c r="G6" s="437" t="s">
        <v>339</v>
      </c>
      <c r="H6" s="454"/>
      <c r="I6" s="454"/>
      <c r="J6" s="426"/>
      <c r="K6" s="437" t="s">
        <v>353</v>
      </c>
      <c r="L6" s="454"/>
      <c r="M6" s="454"/>
      <c r="N6" s="426"/>
    </row>
    <row r="7" spans="1:14" ht="57.75" customHeight="1">
      <c r="A7" s="474"/>
      <c r="B7" s="472"/>
      <c r="C7" s="7" t="s">
        <v>3</v>
      </c>
      <c r="D7" s="7" t="s">
        <v>4</v>
      </c>
      <c r="E7" s="25" t="s">
        <v>341</v>
      </c>
      <c r="F7" s="7" t="s">
        <v>71</v>
      </c>
      <c r="G7" s="7" t="s">
        <v>3</v>
      </c>
      <c r="H7" s="7" t="s">
        <v>4</v>
      </c>
      <c r="I7" s="25" t="s">
        <v>341</v>
      </c>
      <c r="J7" s="7" t="s">
        <v>72</v>
      </c>
      <c r="K7" s="7" t="s">
        <v>3</v>
      </c>
      <c r="L7" s="7" t="s">
        <v>4</v>
      </c>
      <c r="M7" s="25" t="s">
        <v>341</v>
      </c>
      <c r="N7" s="7" t="s">
        <v>73</v>
      </c>
    </row>
    <row r="8" spans="1:14" ht="15.75">
      <c r="A8" s="2">
        <v>1</v>
      </c>
      <c r="B8" s="2">
        <v>2</v>
      </c>
      <c r="C8" s="2">
        <v>3</v>
      </c>
      <c r="D8" s="2">
        <v>4</v>
      </c>
      <c r="E8" s="2">
        <v>5</v>
      </c>
      <c r="F8" s="2">
        <v>6</v>
      </c>
      <c r="G8" s="2">
        <v>7</v>
      </c>
      <c r="H8" s="2">
        <v>8</v>
      </c>
      <c r="I8" s="2">
        <v>9</v>
      </c>
      <c r="J8" s="2">
        <v>10</v>
      </c>
      <c r="K8" s="2">
        <v>11</v>
      </c>
      <c r="L8" s="2">
        <v>12</v>
      </c>
      <c r="M8" s="2">
        <v>13</v>
      </c>
      <c r="N8" s="2">
        <v>14</v>
      </c>
    </row>
    <row r="9" spans="1:14" s="15" customFormat="1" ht="34.5" customHeight="1">
      <c r="A9" s="165"/>
      <c r="B9" s="164" t="s">
        <v>158</v>
      </c>
      <c r="C9" s="89"/>
      <c r="D9" s="90"/>
      <c r="E9" s="90"/>
      <c r="F9" s="89"/>
      <c r="G9" s="89"/>
      <c r="H9" s="90"/>
      <c r="I9" s="90"/>
      <c r="J9" s="89"/>
      <c r="K9" s="89"/>
      <c r="L9" s="90"/>
      <c r="M9" s="90"/>
      <c r="N9" s="89"/>
    </row>
    <row r="10" spans="1:14" s="15" customFormat="1" ht="34.5" customHeight="1">
      <c r="A10" s="165"/>
      <c r="B10" s="213" t="s">
        <v>257</v>
      </c>
      <c r="C10" s="89"/>
      <c r="D10" s="90"/>
      <c r="E10" s="90"/>
      <c r="F10" s="278">
        <f>C10+D10</f>
        <v>0</v>
      </c>
      <c r="G10" s="214">
        <f>150000</f>
        <v>150000</v>
      </c>
      <c r="H10" s="91">
        <f>330000</f>
        <v>330000</v>
      </c>
      <c r="I10" s="214">
        <f>H10</f>
        <v>330000</v>
      </c>
      <c r="J10" s="214">
        <f>G10+H10</f>
        <v>480000</v>
      </c>
      <c r="K10" s="214">
        <v>840000</v>
      </c>
      <c r="L10" s="91">
        <v>110000</v>
      </c>
      <c r="M10" s="91">
        <f>L10</f>
        <v>110000</v>
      </c>
      <c r="N10" s="214">
        <f>L10+K10</f>
        <v>950000</v>
      </c>
    </row>
    <row r="11" spans="1:14" s="15" customFormat="1" ht="34.5" customHeight="1">
      <c r="A11" s="165"/>
      <c r="B11" s="213" t="s">
        <v>189</v>
      </c>
      <c r="C11" s="214">
        <f>57119.38</f>
        <v>57119.38</v>
      </c>
      <c r="D11" s="91"/>
      <c r="E11" s="91"/>
      <c r="F11" s="214">
        <f aca="true" t="shared" si="0" ref="F11:F32">C11+D11</f>
        <v>57119.38</v>
      </c>
      <c r="G11" s="214">
        <f>1054300</f>
        <v>1054300</v>
      </c>
      <c r="H11" s="91">
        <f>7403500</f>
        <v>7403500</v>
      </c>
      <c r="I11" s="91">
        <f>H11</f>
        <v>7403500</v>
      </c>
      <c r="J11" s="214">
        <f>G11+H11</f>
        <v>8457800</v>
      </c>
      <c r="K11" s="214">
        <f>130500+347500</f>
        <v>478000</v>
      </c>
      <c r="L11" s="91">
        <f>1947500+150000+435000+705000</f>
        <v>3237500</v>
      </c>
      <c r="M11" s="91">
        <f>L11</f>
        <v>3237500</v>
      </c>
      <c r="N11" s="214">
        <f>L11+K11</f>
        <v>3715500</v>
      </c>
    </row>
    <row r="12" spans="1:14" s="15" customFormat="1" ht="36" customHeight="1">
      <c r="A12" s="165"/>
      <c r="B12" s="213" t="s">
        <v>183</v>
      </c>
      <c r="C12" s="214">
        <f>755652.44</f>
        <v>755652.44</v>
      </c>
      <c r="D12" s="91">
        <f>304982</f>
        <v>304982</v>
      </c>
      <c r="E12" s="91">
        <f>D12</f>
        <v>304982</v>
      </c>
      <c r="F12" s="278">
        <f t="shared" si="0"/>
        <v>1060634.44</v>
      </c>
      <c r="G12" s="214">
        <f>833000</f>
        <v>833000</v>
      </c>
      <c r="H12" s="91">
        <f>377500</f>
        <v>377500</v>
      </c>
      <c r="I12" s="91">
        <f aca="true" t="shared" si="1" ref="I12:I33">H12</f>
        <v>377500</v>
      </c>
      <c r="J12" s="214">
        <f aca="true" t="shared" si="2" ref="J12:J33">G12+H12</f>
        <v>1210500</v>
      </c>
      <c r="K12" s="214">
        <v>300000</v>
      </c>
      <c r="L12" s="91">
        <v>230000</v>
      </c>
      <c r="M12" s="91">
        <f>L12</f>
        <v>230000</v>
      </c>
      <c r="N12" s="214">
        <f>L12+K12</f>
        <v>530000</v>
      </c>
    </row>
    <row r="13" spans="1:14" s="15" customFormat="1" ht="27.75" customHeight="1">
      <c r="A13" s="165"/>
      <c r="B13" s="213" t="s">
        <v>285</v>
      </c>
      <c r="C13" s="214"/>
      <c r="D13" s="91"/>
      <c r="E13" s="91"/>
      <c r="F13" s="278">
        <f t="shared" si="0"/>
        <v>0</v>
      </c>
      <c r="G13" s="214">
        <f>270000</f>
        <v>270000</v>
      </c>
      <c r="H13" s="91"/>
      <c r="I13" s="91">
        <f t="shared" si="1"/>
        <v>0</v>
      </c>
      <c r="J13" s="214">
        <f t="shared" si="2"/>
        <v>270000</v>
      </c>
      <c r="K13" s="214">
        <f>420000</f>
        <v>420000</v>
      </c>
      <c r="L13" s="91">
        <v>210000</v>
      </c>
      <c r="M13" s="91">
        <f>L13</f>
        <v>210000</v>
      </c>
      <c r="N13" s="214">
        <f>K13+L13</f>
        <v>630000</v>
      </c>
    </row>
    <row r="14" spans="1:14" s="15" customFormat="1" ht="27.75" customHeight="1">
      <c r="A14" s="165"/>
      <c r="B14" s="213" t="s">
        <v>184</v>
      </c>
      <c r="C14" s="214">
        <f>14038.26</f>
        <v>14038.26</v>
      </c>
      <c r="D14" s="91"/>
      <c r="E14" s="91"/>
      <c r="F14" s="278">
        <f t="shared" si="0"/>
        <v>14038.26</v>
      </c>
      <c r="G14" s="214">
        <f>60000</f>
        <v>60000</v>
      </c>
      <c r="H14" s="91"/>
      <c r="I14" s="91">
        <f t="shared" si="1"/>
        <v>0</v>
      </c>
      <c r="J14" s="214">
        <f t="shared" si="2"/>
        <v>60000</v>
      </c>
      <c r="K14" s="214">
        <f>72000+344000+18000</f>
        <v>434000</v>
      </c>
      <c r="L14" s="91"/>
      <c r="M14" s="91"/>
      <c r="N14" s="214">
        <f>K14</f>
        <v>434000</v>
      </c>
    </row>
    <row r="15" spans="1:14" s="169" customFormat="1" ht="48" customHeight="1">
      <c r="A15" s="166"/>
      <c r="B15" s="134" t="s">
        <v>163</v>
      </c>
      <c r="C15" s="168">
        <f>35000+49980</f>
        <v>84980</v>
      </c>
      <c r="D15" s="168"/>
      <c r="E15" s="168"/>
      <c r="F15" s="278">
        <f t="shared" si="0"/>
        <v>84980</v>
      </c>
      <c r="G15" s="168">
        <f>35000+50000</f>
        <v>85000</v>
      </c>
      <c r="H15" s="168"/>
      <c r="I15" s="91">
        <f t="shared" si="1"/>
        <v>0</v>
      </c>
      <c r="J15" s="214">
        <f t="shared" si="2"/>
        <v>85000</v>
      </c>
      <c r="K15" s="168"/>
      <c r="L15" s="168"/>
      <c r="M15" s="168"/>
      <c r="N15" s="168">
        <f>K15+L15</f>
        <v>0</v>
      </c>
    </row>
    <row r="16" spans="1:14" s="169" customFormat="1" ht="45" customHeight="1">
      <c r="A16" s="166"/>
      <c r="B16" s="134" t="s">
        <v>162</v>
      </c>
      <c r="C16" s="168">
        <f>98590.32</f>
        <v>98590.32</v>
      </c>
      <c r="D16" s="168"/>
      <c r="E16" s="168"/>
      <c r="F16" s="214">
        <f t="shared" si="0"/>
        <v>98590.32</v>
      </c>
      <c r="G16" s="168">
        <f>144000</f>
        <v>144000</v>
      </c>
      <c r="H16" s="168"/>
      <c r="I16" s="91">
        <f t="shared" si="1"/>
        <v>0</v>
      </c>
      <c r="J16" s="214">
        <f t="shared" si="2"/>
        <v>144000</v>
      </c>
      <c r="K16" s="168">
        <f>174000</f>
        <v>174000</v>
      </c>
      <c r="L16" s="168"/>
      <c r="M16" s="168"/>
      <c r="N16" s="168">
        <f>K16+L16</f>
        <v>174000</v>
      </c>
    </row>
    <row r="17" spans="1:14" s="169" customFormat="1" ht="39" customHeight="1">
      <c r="A17" s="166"/>
      <c r="B17" s="134" t="s">
        <v>185</v>
      </c>
      <c r="C17" s="168">
        <f>292369.23+218531.96</f>
        <v>510901.18999999994</v>
      </c>
      <c r="D17" s="168"/>
      <c r="E17" s="168"/>
      <c r="F17" s="214">
        <f t="shared" si="0"/>
        <v>510901.18999999994</v>
      </c>
      <c r="G17" s="168">
        <f>206000</f>
        <v>206000</v>
      </c>
      <c r="H17" s="168"/>
      <c r="I17" s="91">
        <f t="shared" si="1"/>
        <v>0</v>
      </c>
      <c r="J17" s="214">
        <f t="shared" si="2"/>
        <v>206000</v>
      </c>
      <c r="K17" s="168">
        <f>600000+100000</f>
        <v>700000</v>
      </c>
      <c r="L17" s="168"/>
      <c r="M17" s="168"/>
      <c r="N17" s="168">
        <f aca="true" t="shared" si="3" ref="N17:N30">K17+L17</f>
        <v>700000</v>
      </c>
    </row>
    <row r="18" spans="1:14" s="169" customFormat="1" ht="27" customHeight="1">
      <c r="A18" s="166"/>
      <c r="B18" s="134" t="s">
        <v>190</v>
      </c>
      <c r="C18" s="168">
        <f>49174.35</f>
        <v>49174.35</v>
      </c>
      <c r="D18" s="168"/>
      <c r="E18" s="168"/>
      <c r="F18" s="214">
        <f t="shared" si="0"/>
        <v>49174.35</v>
      </c>
      <c r="G18" s="168"/>
      <c r="H18" s="168"/>
      <c r="I18" s="91">
        <f t="shared" si="1"/>
        <v>0</v>
      </c>
      <c r="J18" s="214">
        <f t="shared" si="2"/>
        <v>0</v>
      </c>
      <c r="K18" s="168"/>
      <c r="L18" s="168"/>
      <c r="M18" s="168"/>
      <c r="N18" s="168">
        <f t="shared" si="3"/>
        <v>0</v>
      </c>
    </row>
    <row r="19" spans="1:14" s="169" customFormat="1" ht="39" customHeight="1">
      <c r="A19" s="166"/>
      <c r="B19" s="134" t="s">
        <v>258</v>
      </c>
      <c r="C19" s="168"/>
      <c r="D19" s="168"/>
      <c r="E19" s="168"/>
      <c r="F19" s="214">
        <f t="shared" si="0"/>
        <v>0</v>
      </c>
      <c r="G19" s="168">
        <f>401010</f>
        <v>401010</v>
      </c>
      <c r="H19" s="168"/>
      <c r="I19" s="91">
        <f t="shared" si="1"/>
        <v>0</v>
      </c>
      <c r="J19" s="214">
        <f t="shared" si="2"/>
        <v>401010</v>
      </c>
      <c r="K19" s="168">
        <f>170000+100000</f>
        <v>270000</v>
      </c>
      <c r="L19" s="168"/>
      <c r="M19" s="168">
        <f>L19</f>
        <v>0</v>
      </c>
      <c r="N19" s="168">
        <f t="shared" si="3"/>
        <v>270000</v>
      </c>
    </row>
    <row r="20" spans="1:14" s="169" customFormat="1" ht="27" customHeight="1">
      <c r="A20" s="166"/>
      <c r="B20" s="134" t="s">
        <v>259</v>
      </c>
      <c r="C20" s="168"/>
      <c r="D20" s="168"/>
      <c r="E20" s="168"/>
      <c r="F20" s="214">
        <f>C20+D20</f>
        <v>0</v>
      </c>
      <c r="G20" s="168">
        <f>80000</f>
        <v>80000</v>
      </c>
      <c r="H20" s="168"/>
      <c r="I20" s="91">
        <f>H20</f>
        <v>0</v>
      </c>
      <c r="J20" s="214">
        <f t="shared" si="2"/>
        <v>80000</v>
      </c>
      <c r="K20" s="168">
        <f>40000</f>
        <v>40000</v>
      </c>
      <c r="L20" s="168"/>
      <c r="M20" s="168"/>
      <c r="N20" s="168">
        <f>K20+L20</f>
        <v>40000</v>
      </c>
    </row>
    <row r="21" spans="1:14" s="169" customFormat="1" ht="27" customHeight="1">
      <c r="A21" s="166"/>
      <c r="B21" s="134" t="s">
        <v>356</v>
      </c>
      <c r="C21" s="168"/>
      <c r="D21" s="168"/>
      <c r="E21" s="168"/>
      <c r="F21" s="214">
        <f>C21+D21</f>
        <v>0</v>
      </c>
      <c r="G21" s="168"/>
      <c r="H21" s="168"/>
      <c r="I21" s="91">
        <f>H21</f>
        <v>0</v>
      </c>
      <c r="J21" s="214">
        <f t="shared" si="2"/>
        <v>0</v>
      </c>
      <c r="K21" s="168"/>
      <c r="L21" s="168"/>
      <c r="M21" s="168"/>
      <c r="N21" s="168">
        <f>K21+L21</f>
        <v>0</v>
      </c>
    </row>
    <row r="22" spans="1:14" s="169" customFormat="1" ht="45" customHeight="1">
      <c r="A22" s="166"/>
      <c r="B22" s="134" t="s">
        <v>186</v>
      </c>
      <c r="C22" s="168">
        <f>265405.23</f>
        <v>265405.23</v>
      </c>
      <c r="D22" s="168"/>
      <c r="E22" s="168"/>
      <c r="F22" s="214">
        <f t="shared" si="0"/>
        <v>265405.23</v>
      </c>
      <c r="G22" s="168">
        <f>60000</f>
        <v>60000</v>
      </c>
      <c r="H22" s="168"/>
      <c r="I22" s="91">
        <f t="shared" si="1"/>
        <v>0</v>
      </c>
      <c r="J22" s="214">
        <f t="shared" si="2"/>
        <v>60000</v>
      </c>
      <c r="K22" s="168">
        <v>360000</v>
      </c>
      <c r="L22" s="168"/>
      <c r="M22" s="168"/>
      <c r="N22" s="168">
        <f t="shared" si="3"/>
        <v>360000</v>
      </c>
    </row>
    <row r="23" spans="1:14" s="169" customFormat="1" ht="30" customHeight="1">
      <c r="A23" s="166"/>
      <c r="B23" s="134" t="s">
        <v>192</v>
      </c>
      <c r="C23" s="168">
        <f>64327.92</f>
        <v>64327.92</v>
      </c>
      <c r="D23" s="168"/>
      <c r="E23" s="168"/>
      <c r="F23" s="214">
        <f t="shared" si="0"/>
        <v>64327.92</v>
      </c>
      <c r="G23" s="168"/>
      <c r="H23" s="168"/>
      <c r="I23" s="91">
        <f t="shared" si="1"/>
        <v>0</v>
      </c>
      <c r="J23" s="214">
        <f t="shared" si="2"/>
        <v>0</v>
      </c>
      <c r="K23" s="168">
        <v>0</v>
      </c>
      <c r="L23" s="168"/>
      <c r="M23" s="168"/>
      <c r="N23" s="168">
        <f t="shared" si="3"/>
        <v>0</v>
      </c>
    </row>
    <row r="24" spans="1:14" s="169" customFormat="1" ht="33" customHeight="1">
      <c r="A24" s="166"/>
      <c r="B24" s="134" t="s">
        <v>260</v>
      </c>
      <c r="C24" s="168">
        <f>664640.56</f>
        <v>664640.56</v>
      </c>
      <c r="D24" s="168"/>
      <c r="E24" s="168"/>
      <c r="F24" s="214">
        <f t="shared" si="0"/>
        <v>664640.56</v>
      </c>
      <c r="G24" s="168">
        <f>60000+258000</f>
        <v>318000</v>
      </c>
      <c r="H24" s="168"/>
      <c r="I24" s="91">
        <f t="shared" si="1"/>
        <v>0</v>
      </c>
      <c r="J24" s="214">
        <f t="shared" si="2"/>
        <v>318000</v>
      </c>
      <c r="K24" s="168">
        <f>140000+336000+195000</f>
        <v>671000</v>
      </c>
      <c r="L24" s="168"/>
      <c r="M24" s="168"/>
      <c r="N24" s="168">
        <f t="shared" si="3"/>
        <v>671000</v>
      </c>
    </row>
    <row r="25" spans="1:14" s="169" customFormat="1" ht="35.25" customHeight="1">
      <c r="A25" s="166"/>
      <c r="B25" s="134" t="s">
        <v>187</v>
      </c>
      <c r="C25" s="168">
        <f>50834.24+117370.2+6839.89</f>
        <v>175044.33000000002</v>
      </c>
      <c r="D25" s="168"/>
      <c r="E25" s="168"/>
      <c r="F25" s="278">
        <f t="shared" si="0"/>
        <v>175044.33000000002</v>
      </c>
      <c r="G25" s="168">
        <f>451680</f>
        <v>451680</v>
      </c>
      <c r="H25" s="168"/>
      <c r="I25" s="91">
        <f t="shared" si="1"/>
        <v>0</v>
      </c>
      <c r="J25" s="214">
        <f t="shared" si="2"/>
        <v>451680</v>
      </c>
      <c r="K25" s="168">
        <f>384000+205860</f>
        <v>589860</v>
      </c>
      <c r="L25" s="168"/>
      <c r="M25" s="168"/>
      <c r="N25" s="168">
        <f t="shared" si="3"/>
        <v>589860</v>
      </c>
    </row>
    <row r="26" spans="1:14" s="169" customFormat="1" ht="29.25" customHeight="1">
      <c r="A26" s="166"/>
      <c r="B26" s="134" t="s">
        <v>188</v>
      </c>
      <c r="C26" s="168">
        <f>35140.03+129248.55</f>
        <v>164388.58000000002</v>
      </c>
      <c r="D26" s="168"/>
      <c r="E26" s="168"/>
      <c r="F26" s="278">
        <f t="shared" si="0"/>
        <v>164388.58000000002</v>
      </c>
      <c r="G26" s="168">
        <f>36000</f>
        <v>36000</v>
      </c>
      <c r="H26" s="168"/>
      <c r="I26" s="91">
        <f t="shared" si="1"/>
        <v>0</v>
      </c>
      <c r="J26" s="214">
        <f t="shared" si="2"/>
        <v>36000</v>
      </c>
      <c r="K26" s="168">
        <f>48000</f>
        <v>48000</v>
      </c>
      <c r="L26" s="168"/>
      <c r="M26" s="168"/>
      <c r="N26" s="168">
        <f t="shared" si="3"/>
        <v>48000</v>
      </c>
    </row>
    <row r="27" spans="1:14" s="169" customFormat="1" ht="33" customHeight="1">
      <c r="A27" s="166"/>
      <c r="B27" s="134" t="s">
        <v>261</v>
      </c>
      <c r="C27" s="168">
        <f>160036.19</f>
        <v>160036.19</v>
      </c>
      <c r="D27" s="168"/>
      <c r="E27" s="168"/>
      <c r="F27" s="278">
        <f t="shared" si="0"/>
        <v>160036.19</v>
      </c>
      <c r="G27" s="168">
        <f>546000</f>
        <v>546000</v>
      </c>
      <c r="H27" s="168"/>
      <c r="I27" s="91">
        <f t="shared" si="1"/>
        <v>0</v>
      </c>
      <c r="J27" s="214">
        <f t="shared" si="2"/>
        <v>546000</v>
      </c>
      <c r="K27" s="168">
        <f>480000+54000+66000+36000+264000+48000+650000</f>
        <v>1598000</v>
      </c>
      <c r="L27" s="168"/>
      <c r="M27" s="168"/>
      <c r="N27" s="168">
        <f t="shared" si="3"/>
        <v>1598000</v>
      </c>
    </row>
    <row r="28" spans="1:14" s="169" customFormat="1" ht="33" customHeight="1">
      <c r="A28" s="166"/>
      <c r="B28" s="134" t="s">
        <v>262</v>
      </c>
      <c r="C28" s="168"/>
      <c r="D28" s="168"/>
      <c r="E28" s="168"/>
      <c r="F28" s="278">
        <f t="shared" si="0"/>
        <v>0</v>
      </c>
      <c r="G28" s="168">
        <f>267000</f>
        <v>267000</v>
      </c>
      <c r="H28" s="168"/>
      <c r="I28" s="91">
        <f t="shared" si="1"/>
        <v>0</v>
      </c>
      <c r="J28" s="214">
        <f t="shared" si="2"/>
        <v>267000</v>
      </c>
      <c r="K28" s="168">
        <f>57000</f>
        <v>57000</v>
      </c>
      <c r="L28" s="168"/>
      <c r="M28" s="168"/>
      <c r="N28" s="168">
        <f t="shared" si="3"/>
        <v>57000</v>
      </c>
    </row>
    <row r="29" spans="1:14" s="169" customFormat="1" ht="33" customHeight="1">
      <c r="A29" s="166"/>
      <c r="B29" s="134" t="s">
        <v>263</v>
      </c>
      <c r="C29" s="168"/>
      <c r="D29" s="168"/>
      <c r="E29" s="168"/>
      <c r="F29" s="278">
        <f>C29+D29</f>
        <v>0</v>
      </c>
      <c r="G29" s="168">
        <f>3305300</f>
        <v>3305300</v>
      </c>
      <c r="H29" s="168"/>
      <c r="I29" s="91">
        <f t="shared" si="1"/>
        <v>0</v>
      </c>
      <c r="J29" s="214">
        <f t="shared" si="2"/>
        <v>3305300</v>
      </c>
      <c r="K29" s="168">
        <f>1080000+1074000+200000+90000+230000</f>
        <v>2674000</v>
      </c>
      <c r="L29" s="168"/>
      <c r="M29" s="168"/>
      <c r="N29" s="168">
        <f>K29+L29</f>
        <v>2674000</v>
      </c>
    </row>
    <row r="30" spans="1:14" s="169" customFormat="1" ht="33" customHeight="1">
      <c r="A30" s="166"/>
      <c r="B30" s="134" t="s">
        <v>193</v>
      </c>
      <c r="C30" s="168">
        <f>214637.53</f>
        <v>214637.53</v>
      </c>
      <c r="D30" s="168"/>
      <c r="E30" s="168"/>
      <c r="F30" s="278">
        <f t="shared" si="0"/>
        <v>214637.53</v>
      </c>
      <c r="G30" s="168">
        <f>100000+430000</f>
        <v>530000</v>
      </c>
      <c r="H30" s="168"/>
      <c r="I30" s="91">
        <f t="shared" si="1"/>
        <v>0</v>
      </c>
      <c r="J30" s="214">
        <f t="shared" si="2"/>
        <v>530000</v>
      </c>
      <c r="K30" s="168">
        <f>150000</f>
        <v>150000</v>
      </c>
      <c r="L30" s="168"/>
      <c r="M30" s="168">
        <f>L30</f>
        <v>0</v>
      </c>
      <c r="N30" s="168">
        <f t="shared" si="3"/>
        <v>150000</v>
      </c>
    </row>
    <row r="31" spans="1:14" s="169" customFormat="1" ht="49.5" customHeight="1" hidden="1">
      <c r="A31" s="166"/>
      <c r="B31" s="134" t="s">
        <v>164</v>
      </c>
      <c r="C31" s="168"/>
      <c r="D31" s="168"/>
      <c r="E31" s="168"/>
      <c r="F31" s="278">
        <f t="shared" si="0"/>
        <v>0</v>
      </c>
      <c r="G31" s="168"/>
      <c r="H31" s="168"/>
      <c r="I31" s="91">
        <f t="shared" si="1"/>
        <v>0</v>
      </c>
      <c r="J31" s="214">
        <f t="shared" si="2"/>
        <v>0</v>
      </c>
      <c r="K31" s="168"/>
      <c r="L31" s="168"/>
      <c r="M31" s="168"/>
      <c r="N31" s="168">
        <f>K31+L31</f>
        <v>0</v>
      </c>
    </row>
    <row r="32" spans="1:14" s="169" customFormat="1" ht="45" customHeight="1" hidden="1">
      <c r="A32" s="166"/>
      <c r="B32" s="134" t="s">
        <v>165</v>
      </c>
      <c r="C32" s="168"/>
      <c r="D32" s="168"/>
      <c r="E32" s="168"/>
      <c r="F32" s="278">
        <f t="shared" si="0"/>
        <v>0</v>
      </c>
      <c r="G32" s="168"/>
      <c r="H32" s="168"/>
      <c r="I32" s="91">
        <f t="shared" si="1"/>
        <v>0</v>
      </c>
      <c r="J32" s="214">
        <f t="shared" si="2"/>
        <v>0</v>
      </c>
      <c r="K32" s="168"/>
      <c r="L32" s="168"/>
      <c r="M32" s="168"/>
      <c r="N32" s="168">
        <f>K32+L32</f>
        <v>0</v>
      </c>
    </row>
    <row r="33" spans="1:14" s="169" customFormat="1" ht="33" customHeight="1">
      <c r="A33" s="166"/>
      <c r="B33" s="134" t="s">
        <v>357</v>
      </c>
      <c r="C33" s="168"/>
      <c r="D33" s="168"/>
      <c r="E33" s="168"/>
      <c r="F33" s="278">
        <f>C33+D33</f>
        <v>0</v>
      </c>
      <c r="G33" s="168"/>
      <c r="H33" s="168"/>
      <c r="I33" s="91">
        <f t="shared" si="1"/>
        <v>0</v>
      </c>
      <c r="J33" s="214">
        <f t="shared" si="2"/>
        <v>0</v>
      </c>
      <c r="K33" s="168">
        <f>50000+160000+50000</f>
        <v>260000</v>
      </c>
      <c r="L33" s="168"/>
      <c r="M33" s="168"/>
      <c r="N33" s="168">
        <f>K33+L33</f>
        <v>260000</v>
      </c>
    </row>
    <row r="34" spans="1:14" s="191" customFormat="1" ht="14.25">
      <c r="A34" s="192"/>
      <c r="B34" s="193" t="s">
        <v>331</v>
      </c>
      <c r="C34" s="170">
        <f>SUM(C10:C32)</f>
        <v>3278936.28</v>
      </c>
      <c r="D34" s="170">
        <f>SUM(D10:D32)</f>
        <v>304982</v>
      </c>
      <c r="E34" s="170">
        <f>SUM(E10:E32)</f>
        <v>304982</v>
      </c>
      <c r="F34" s="170">
        <f>SUM(F10:F33)</f>
        <v>3583918.28</v>
      </c>
      <c r="G34" s="170">
        <f aca="true" t="shared" si="4" ref="G34:M34">SUM(G10:G33)</f>
        <v>8797290</v>
      </c>
      <c r="H34" s="170">
        <f t="shared" si="4"/>
        <v>8111000</v>
      </c>
      <c r="I34" s="170">
        <f t="shared" si="4"/>
        <v>8111000</v>
      </c>
      <c r="J34" s="170">
        <f t="shared" si="4"/>
        <v>16908290</v>
      </c>
      <c r="K34" s="170">
        <f>SUM(K10:K33)</f>
        <v>10063860</v>
      </c>
      <c r="L34" s="170">
        <f t="shared" si="4"/>
        <v>3787500</v>
      </c>
      <c r="M34" s="170">
        <f t="shared" si="4"/>
        <v>3787500</v>
      </c>
      <c r="N34" s="170">
        <f>SUM(N10:N33)</f>
        <v>13851360</v>
      </c>
    </row>
    <row r="35" spans="1:14" ht="15.75">
      <c r="A35" s="42"/>
      <c r="B35" s="42"/>
      <c r="C35" s="42"/>
      <c r="D35" s="42"/>
      <c r="E35" s="42"/>
      <c r="F35" s="42"/>
      <c r="G35" s="42"/>
      <c r="H35" s="42"/>
      <c r="I35" s="42"/>
      <c r="J35" s="42"/>
      <c r="K35" s="42"/>
      <c r="L35" s="42"/>
      <c r="M35" s="42"/>
      <c r="N35" s="42"/>
    </row>
    <row r="36" spans="1:2" s="15" customFormat="1" ht="15.75">
      <c r="A36" s="12" t="s">
        <v>335</v>
      </c>
      <c r="B36" s="1" t="s">
        <v>481</v>
      </c>
    </row>
    <row r="37" spans="6:13" s="15" customFormat="1" ht="15.75">
      <c r="F37" s="30"/>
      <c r="G37" s="30"/>
      <c r="H37" s="30"/>
      <c r="I37" s="30"/>
      <c r="J37" s="26" t="s">
        <v>70</v>
      </c>
      <c r="K37" s="64"/>
      <c r="L37" s="64"/>
      <c r="M37" s="64"/>
    </row>
    <row r="38" spans="1:10" s="15" customFormat="1" ht="15.75" customHeight="1">
      <c r="A38" s="469" t="s">
        <v>24</v>
      </c>
      <c r="B38" s="471" t="s">
        <v>351</v>
      </c>
      <c r="C38" s="437" t="s">
        <v>127</v>
      </c>
      <c r="D38" s="454"/>
      <c r="E38" s="454"/>
      <c r="F38" s="426"/>
      <c r="G38" s="437" t="s">
        <v>345</v>
      </c>
      <c r="H38" s="454"/>
      <c r="I38" s="454"/>
      <c r="J38" s="426"/>
    </row>
    <row r="39" spans="1:13" s="15" customFormat="1" ht="44.25" customHeight="1">
      <c r="A39" s="470"/>
      <c r="B39" s="472"/>
      <c r="C39" s="7" t="s">
        <v>3</v>
      </c>
      <c r="D39" s="7" t="s">
        <v>4</v>
      </c>
      <c r="E39" s="25" t="s">
        <v>341</v>
      </c>
      <c r="F39" s="7" t="s">
        <v>71</v>
      </c>
      <c r="G39" s="7" t="s">
        <v>3</v>
      </c>
      <c r="H39" s="7" t="s">
        <v>4</v>
      </c>
      <c r="I39" s="25" t="s">
        <v>341</v>
      </c>
      <c r="J39" s="7" t="s">
        <v>72</v>
      </c>
      <c r="K39" s="64"/>
      <c r="L39" s="64"/>
      <c r="M39" s="64"/>
    </row>
    <row r="40" spans="1:10" s="15" customFormat="1" ht="15.75">
      <c r="A40" s="2">
        <v>1</v>
      </c>
      <c r="B40" s="2">
        <v>2</v>
      </c>
      <c r="C40" s="2">
        <v>3</v>
      </c>
      <c r="D40" s="2">
        <v>4</v>
      </c>
      <c r="E40" s="2">
        <v>5</v>
      </c>
      <c r="F40" s="2">
        <v>6</v>
      </c>
      <c r="G40" s="2">
        <v>7</v>
      </c>
      <c r="H40" s="2">
        <v>8</v>
      </c>
      <c r="I40" s="2">
        <v>9</v>
      </c>
      <c r="J40" s="2">
        <v>10</v>
      </c>
    </row>
    <row r="41" spans="1:14" s="15" customFormat="1" ht="49.5" customHeight="1" hidden="1">
      <c r="A41" s="46"/>
      <c r="B41" s="466"/>
      <c r="C41" s="467"/>
      <c r="D41" s="467"/>
      <c r="E41" s="467"/>
      <c r="F41" s="467"/>
      <c r="G41" s="467"/>
      <c r="H41" s="467"/>
      <c r="I41" s="467"/>
      <c r="J41" s="468"/>
      <c r="K41" s="42"/>
      <c r="L41" s="42"/>
      <c r="M41" s="42"/>
      <c r="N41" s="42"/>
    </row>
    <row r="42" spans="1:14" s="15" customFormat="1" ht="40.5" customHeight="1">
      <c r="A42" s="165"/>
      <c r="B42" s="164" t="s">
        <v>158</v>
      </c>
      <c r="C42" s="89"/>
      <c r="D42" s="89"/>
      <c r="E42" s="89"/>
      <c r="F42" s="89"/>
      <c r="G42" s="89"/>
      <c r="H42" s="89"/>
      <c r="I42" s="89"/>
      <c r="J42" s="89"/>
      <c r="K42" s="42"/>
      <c r="L42" s="42"/>
      <c r="M42" s="42"/>
      <c r="N42" s="42"/>
    </row>
    <row r="43" spans="1:14" s="15" customFormat="1" ht="40.5" customHeight="1">
      <c r="A43" s="165"/>
      <c r="B43" s="213" t="s">
        <v>257</v>
      </c>
      <c r="C43" s="168">
        <f>K10*1.067</f>
        <v>896280</v>
      </c>
      <c r="D43" s="214">
        <f>L10*1.067</f>
        <v>117370</v>
      </c>
      <c r="E43" s="214">
        <f>D43</f>
        <v>117370</v>
      </c>
      <c r="F43" s="214">
        <f>D43+C43</f>
        <v>1013650</v>
      </c>
      <c r="G43" s="214">
        <f>C43*1.055</f>
        <v>945575.3999999999</v>
      </c>
      <c r="H43" s="214">
        <f>D43*1.055</f>
        <v>123825.34999999999</v>
      </c>
      <c r="I43" s="214">
        <f>H43</f>
        <v>123825.34999999999</v>
      </c>
      <c r="J43" s="214">
        <f>H43+G43</f>
        <v>1069400.75</v>
      </c>
      <c r="K43" s="42"/>
      <c r="L43" s="42"/>
      <c r="M43" s="42"/>
      <c r="N43" s="42"/>
    </row>
    <row r="44" spans="1:14" s="172" customFormat="1" ht="33" customHeight="1">
      <c r="A44" s="166"/>
      <c r="B44" s="213" t="s">
        <v>189</v>
      </c>
      <c r="C44" s="168">
        <f aca="true" t="shared" si="5" ref="C44:C66">K11*1.067</f>
        <v>510026</v>
      </c>
      <c r="D44" s="214">
        <f>L11*1.067-1</f>
        <v>3454411.5</v>
      </c>
      <c r="E44" s="214">
        <f>D44</f>
        <v>3454411.5</v>
      </c>
      <c r="F44" s="214">
        <f>D44+C44</f>
        <v>3964437.5</v>
      </c>
      <c r="G44" s="214">
        <f aca="true" t="shared" si="6" ref="G44:G66">C44*1.055</f>
        <v>538077.4299999999</v>
      </c>
      <c r="H44" s="214">
        <f aca="true" t="shared" si="7" ref="H44:H66">D44*1.055</f>
        <v>3644404.1325</v>
      </c>
      <c r="I44" s="214">
        <f>H44</f>
        <v>3644404.1325</v>
      </c>
      <c r="J44" s="214">
        <f>G44+H44</f>
        <v>4182481.5625</v>
      </c>
      <c r="K44" s="171"/>
      <c r="L44" s="171"/>
      <c r="M44" s="171"/>
      <c r="N44" s="171"/>
    </row>
    <row r="45" spans="1:14" s="172" customFormat="1" ht="37.5" customHeight="1">
      <c r="A45" s="166"/>
      <c r="B45" s="213" t="s">
        <v>183</v>
      </c>
      <c r="C45" s="168">
        <f t="shared" si="5"/>
        <v>320100</v>
      </c>
      <c r="D45" s="214">
        <f aca="true" t="shared" si="8" ref="D45:D66">L12*1.067</f>
        <v>245410</v>
      </c>
      <c r="E45" s="214">
        <f>D45</f>
        <v>245410</v>
      </c>
      <c r="F45" s="214">
        <f>D45+C45</f>
        <v>565510</v>
      </c>
      <c r="G45" s="214">
        <f t="shared" si="6"/>
        <v>337705.5</v>
      </c>
      <c r="H45" s="214">
        <f t="shared" si="7"/>
        <v>258907.55</v>
      </c>
      <c r="I45" s="214">
        <f>H45</f>
        <v>258907.55</v>
      </c>
      <c r="J45" s="214">
        <f>G45+H45</f>
        <v>596613.05</v>
      </c>
      <c r="K45" s="171"/>
      <c r="L45" s="171"/>
      <c r="M45" s="171"/>
      <c r="N45" s="171"/>
    </row>
    <row r="46" spans="1:14" s="172" customFormat="1" ht="29.25" customHeight="1">
      <c r="A46" s="166"/>
      <c r="B46" s="213" t="s">
        <v>285</v>
      </c>
      <c r="C46" s="168">
        <f t="shared" si="5"/>
        <v>448140</v>
      </c>
      <c r="D46" s="214">
        <f t="shared" si="8"/>
        <v>224070</v>
      </c>
      <c r="E46" s="214">
        <f>D46</f>
        <v>224070</v>
      </c>
      <c r="F46" s="214">
        <f>D46+C46</f>
        <v>672210</v>
      </c>
      <c r="G46" s="214">
        <f t="shared" si="6"/>
        <v>472787.69999999995</v>
      </c>
      <c r="H46" s="214">
        <f t="shared" si="7"/>
        <v>236393.84999999998</v>
      </c>
      <c r="I46" s="214">
        <f>H46</f>
        <v>236393.84999999998</v>
      </c>
      <c r="J46" s="214">
        <f>G46+H46</f>
        <v>709181.5499999999</v>
      </c>
      <c r="K46" s="171"/>
      <c r="L46" s="171"/>
      <c r="M46" s="171"/>
      <c r="N46" s="171"/>
    </row>
    <row r="47" spans="1:14" s="172" customFormat="1" ht="36" customHeight="1">
      <c r="A47" s="166"/>
      <c r="B47" s="134" t="s">
        <v>184</v>
      </c>
      <c r="C47" s="168">
        <f t="shared" si="5"/>
        <v>463078</v>
      </c>
      <c r="D47" s="214">
        <f t="shared" si="8"/>
        <v>0</v>
      </c>
      <c r="E47" s="168" t="s">
        <v>40</v>
      </c>
      <c r="F47" s="168">
        <f aca="true" t="shared" si="9" ref="F47:F66">C47+D47</f>
        <v>463078</v>
      </c>
      <c r="G47" s="214">
        <f t="shared" si="6"/>
        <v>488547.29</v>
      </c>
      <c r="H47" s="214">
        <f t="shared" si="7"/>
        <v>0</v>
      </c>
      <c r="I47" s="214">
        <f aca="true" t="shared" si="10" ref="I47:I66">H47</f>
        <v>0</v>
      </c>
      <c r="J47" s="214">
        <f>G47</f>
        <v>488547.29</v>
      </c>
      <c r="K47" s="171"/>
      <c r="L47" s="171"/>
      <c r="M47" s="171"/>
      <c r="N47" s="171"/>
    </row>
    <row r="48" spans="1:14" s="15" customFormat="1" ht="54" customHeight="1">
      <c r="A48" s="87"/>
      <c r="B48" s="134" t="s">
        <v>163</v>
      </c>
      <c r="C48" s="168">
        <f t="shared" si="5"/>
        <v>0</v>
      </c>
      <c r="D48" s="214">
        <f t="shared" si="8"/>
        <v>0</v>
      </c>
      <c r="E48" s="89"/>
      <c r="F48" s="168">
        <f t="shared" si="9"/>
        <v>0</v>
      </c>
      <c r="G48" s="214">
        <f t="shared" si="6"/>
        <v>0</v>
      </c>
      <c r="H48" s="214">
        <f t="shared" si="7"/>
        <v>0</v>
      </c>
      <c r="I48" s="214">
        <f t="shared" si="10"/>
        <v>0</v>
      </c>
      <c r="J48" s="214">
        <f>H48+G48</f>
        <v>0</v>
      </c>
      <c r="K48" s="42"/>
      <c r="L48" s="42"/>
      <c r="M48" s="42"/>
      <c r="N48" s="42"/>
    </row>
    <row r="49" spans="1:14" s="15" customFormat="1" ht="39" customHeight="1">
      <c r="A49" s="87"/>
      <c r="B49" s="134" t="s">
        <v>162</v>
      </c>
      <c r="C49" s="168">
        <f t="shared" si="5"/>
        <v>185658</v>
      </c>
      <c r="D49" s="214">
        <f t="shared" si="8"/>
        <v>0</v>
      </c>
      <c r="E49" s="89"/>
      <c r="F49" s="168">
        <f t="shared" si="9"/>
        <v>185658</v>
      </c>
      <c r="G49" s="214">
        <f t="shared" si="6"/>
        <v>195869.19</v>
      </c>
      <c r="H49" s="214">
        <f t="shared" si="7"/>
        <v>0</v>
      </c>
      <c r="I49" s="214">
        <f t="shared" si="10"/>
        <v>0</v>
      </c>
      <c r="J49" s="168">
        <f aca="true" t="shared" si="11" ref="J49:J66">G49</f>
        <v>195869.19</v>
      </c>
      <c r="K49" s="42"/>
      <c r="L49" s="42"/>
      <c r="M49" s="42"/>
      <c r="N49" s="42"/>
    </row>
    <row r="50" spans="1:14" s="172" customFormat="1" ht="33" customHeight="1">
      <c r="A50" s="166"/>
      <c r="B50" s="134" t="s">
        <v>185</v>
      </c>
      <c r="C50" s="168">
        <f t="shared" si="5"/>
        <v>746900</v>
      </c>
      <c r="D50" s="214">
        <f t="shared" si="8"/>
        <v>0</v>
      </c>
      <c r="E50" s="168"/>
      <c r="F50" s="168">
        <f t="shared" si="9"/>
        <v>746900</v>
      </c>
      <c r="G50" s="214">
        <f t="shared" si="6"/>
        <v>787979.5</v>
      </c>
      <c r="H50" s="214">
        <f t="shared" si="7"/>
        <v>0</v>
      </c>
      <c r="I50" s="214">
        <f t="shared" si="10"/>
        <v>0</v>
      </c>
      <c r="J50" s="168">
        <f t="shared" si="11"/>
        <v>787979.5</v>
      </c>
      <c r="K50" s="171"/>
      <c r="L50" s="171"/>
      <c r="M50" s="171"/>
      <c r="N50" s="171"/>
    </row>
    <row r="51" spans="1:14" s="172" customFormat="1" ht="33" customHeight="1">
      <c r="A51" s="166"/>
      <c r="B51" s="134" t="s">
        <v>190</v>
      </c>
      <c r="C51" s="168">
        <f t="shared" si="5"/>
        <v>0</v>
      </c>
      <c r="D51" s="214">
        <f t="shared" si="8"/>
        <v>0</v>
      </c>
      <c r="E51" s="168"/>
      <c r="F51" s="168">
        <f t="shared" si="9"/>
        <v>0</v>
      </c>
      <c r="G51" s="214">
        <f t="shared" si="6"/>
        <v>0</v>
      </c>
      <c r="H51" s="214">
        <f t="shared" si="7"/>
        <v>0</v>
      </c>
      <c r="I51" s="214">
        <f t="shared" si="10"/>
        <v>0</v>
      </c>
      <c r="J51" s="168">
        <f t="shared" si="11"/>
        <v>0</v>
      </c>
      <c r="K51" s="171"/>
      <c r="L51" s="171"/>
      <c r="M51" s="171"/>
      <c r="N51" s="171"/>
    </row>
    <row r="52" spans="1:14" s="172" customFormat="1" ht="33" customHeight="1">
      <c r="A52" s="166"/>
      <c r="B52" s="134" t="s">
        <v>258</v>
      </c>
      <c r="C52" s="168">
        <f t="shared" si="5"/>
        <v>288090</v>
      </c>
      <c r="D52" s="214">
        <f t="shared" si="8"/>
        <v>0</v>
      </c>
      <c r="E52" s="168">
        <f>D52</f>
        <v>0</v>
      </c>
      <c r="F52" s="168">
        <f>C52+D52</f>
        <v>288090</v>
      </c>
      <c r="G52" s="214">
        <f t="shared" si="6"/>
        <v>303934.94999999995</v>
      </c>
      <c r="H52" s="214">
        <f t="shared" si="7"/>
        <v>0</v>
      </c>
      <c r="I52" s="214">
        <f t="shared" si="10"/>
        <v>0</v>
      </c>
      <c r="J52" s="168">
        <f>G52+H52</f>
        <v>303934.94999999995</v>
      </c>
      <c r="K52" s="171"/>
      <c r="L52" s="171"/>
      <c r="M52" s="171"/>
      <c r="N52" s="171"/>
    </row>
    <row r="53" spans="1:14" s="172" customFormat="1" ht="29.25" customHeight="1">
      <c r="A53" s="166"/>
      <c r="B53" s="134" t="s">
        <v>259</v>
      </c>
      <c r="C53" s="168">
        <f t="shared" si="5"/>
        <v>42680</v>
      </c>
      <c r="D53" s="214">
        <f t="shared" si="8"/>
        <v>0</v>
      </c>
      <c r="E53" s="168"/>
      <c r="F53" s="168">
        <f>C53+D53</f>
        <v>42680</v>
      </c>
      <c r="G53" s="214">
        <f t="shared" si="6"/>
        <v>45027.399999999994</v>
      </c>
      <c r="H53" s="214">
        <f t="shared" si="7"/>
        <v>0</v>
      </c>
      <c r="I53" s="214">
        <f t="shared" si="10"/>
        <v>0</v>
      </c>
      <c r="J53" s="168">
        <f t="shared" si="11"/>
        <v>45027.399999999994</v>
      </c>
      <c r="K53" s="171"/>
      <c r="L53" s="171"/>
      <c r="M53" s="171"/>
      <c r="N53" s="171"/>
    </row>
    <row r="54" spans="1:14" s="172" customFormat="1" ht="27" customHeight="1">
      <c r="A54" s="166"/>
      <c r="B54" s="134" t="s">
        <v>356</v>
      </c>
      <c r="C54" s="168">
        <f t="shared" si="5"/>
        <v>0</v>
      </c>
      <c r="D54" s="214">
        <f t="shared" si="8"/>
        <v>0</v>
      </c>
      <c r="E54" s="168"/>
      <c r="F54" s="168">
        <f t="shared" si="9"/>
        <v>0</v>
      </c>
      <c r="G54" s="214">
        <f t="shared" si="6"/>
        <v>0</v>
      </c>
      <c r="H54" s="214">
        <f t="shared" si="7"/>
        <v>0</v>
      </c>
      <c r="I54" s="214">
        <f t="shared" si="10"/>
        <v>0</v>
      </c>
      <c r="J54" s="168">
        <f t="shared" si="11"/>
        <v>0</v>
      </c>
      <c r="K54" s="171"/>
      <c r="L54" s="171"/>
      <c r="M54" s="171"/>
      <c r="N54" s="171"/>
    </row>
    <row r="55" spans="1:14" s="172" customFormat="1" ht="54" customHeight="1">
      <c r="A55" s="166"/>
      <c r="B55" s="134" t="s">
        <v>186</v>
      </c>
      <c r="C55" s="168">
        <f t="shared" si="5"/>
        <v>384120</v>
      </c>
      <c r="D55" s="214">
        <f t="shared" si="8"/>
        <v>0</v>
      </c>
      <c r="E55" s="168"/>
      <c r="F55" s="168">
        <f t="shared" si="9"/>
        <v>384120</v>
      </c>
      <c r="G55" s="214">
        <f t="shared" si="6"/>
        <v>405246.6</v>
      </c>
      <c r="H55" s="214">
        <f t="shared" si="7"/>
        <v>0</v>
      </c>
      <c r="I55" s="214">
        <f t="shared" si="10"/>
        <v>0</v>
      </c>
      <c r="J55" s="168">
        <f t="shared" si="11"/>
        <v>405246.6</v>
      </c>
      <c r="K55" s="171"/>
      <c r="L55" s="171"/>
      <c r="M55" s="171"/>
      <c r="N55" s="171"/>
    </row>
    <row r="56" spans="1:14" s="172" customFormat="1" ht="33.75" customHeight="1">
      <c r="A56" s="166"/>
      <c r="B56" s="134" t="s">
        <v>192</v>
      </c>
      <c r="C56" s="168">
        <f t="shared" si="5"/>
        <v>0</v>
      </c>
      <c r="D56" s="214">
        <f t="shared" si="8"/>
        <v>0</v>
      </c>
      <c r="E56" s="168"/>
      <c r="F56" s="168">
        <f t="shared" si="9"/>
        <v>0</v>
      </c>
      <c r="G56" s="214">
        <f t="shared" si="6"/>
        <v>0</v>
      </c>
      <c r="H56" s="214">
        <f t="shared" si="7"/>
        <v>0</v>
      </c>
      <c r="I56" s="214">
        <f t="shared" si="10"/>
        <v>0</v>
      </c>
      <c r="J56" s="168">
        <f t="shared" si="11"/>
        <v>0</v>
      </c>
      <c r="K56" s="171"/>
      <c r="L56" s="171"/>
      <c r="M56" s="171"/>
      <c r="N56" s="171"/>
    </row>
    <row r="57" spans="1:14" s="15" customFormat="1" ht="33.75" customHeight="1">
      <c r="A57" s="87"/>
      <c r="B57" s="134" t="s">
        <v>260</v>
      </c>
      <c r="C57" s="168">
        <f t="shared" si="5"/>
        <v>715957</v>
      </c>
      <c r="D57" s="214">
        <f t="shared" si="8"/>
        <v>0</v>
      </c>
      <c r="E57" s="89"/>
      <c r="F57" s="168">
        <f t="shared" si="9"/>
        <v>715957</v>
      </c>
      <c r="G57" s="214">
        <f>C57*1.055+2</f>
        <v>755336.635</v>
      </c>
      <c r="H57" s="214">
        <f t="shared" si="7"/>
        <v>0</v>
      </c>
      <c r="I57" s="214">
        <f t="shared" si="10"/>
        <v>0</v>
      </c>
      <c r="J57" s="168">
        <f t="shared" si="11"/>
        <v>755336.635</v>
      </c>
      <c r="K57" s="42"/>
      <c r="L57" s="42"/>
      <c r="M57" s="42"/>
      <c r="N57" s="42"/>
    </row>
    <row r="58" spans="1:14" s="15" customFormat="1" ht="33.75" customHeight="1">
      <c r="A58" s="87"/>
      <c r="B58" s="134" t="s">
        <v>187</v>
      </c>
      <c r="C58" s="168">
        <f>K25*1.067-1</f>
        <v>629379.62</v>
      </c>
      <c r="D58" s="214">
        <f t="shared" si="8"/>
        <v>0</v>
      </c>
      <c r="E58" s="89"/>
      <c r="F58" s="168">
        <f>C58+D58</f>
        <v>629379.62</v>
      </c>
      <c r="G58" s="214">
        <f t="shared" si="6"/>
        <v>663995.4990999999</v>
      </c>
      <c r="H58" s="214">
        <f t="shared" si="7"/>
        <v>0</v>
      </c>
      <c r="I58" s="214">
        <f t="shared" si="10"/>
        <v>0</v>
      </c>
      <c r="J58" s="168">
        <f>G58</f>
        <v>663995.4990999999</v>
      </c>
      <c r="K58" s="42"/>
      <c r="L58" s="42"/>
      <c r="M58" s="42"/>
      <c r="N58" s="42"/>
    </row>
    <row r="59" spans="1:14" s="15" customFormat="1" ht="36" customHeight="1">
      <c r="A59" s="87"/>
      <c r="B59" s="134" t="s">
        <v>188</v>
      </c>
      <c r="C59" s="168">
        <f t="shared" si="5"/>
        <v>51216</v>
      </c>
      <c r="D59" s="214">
        <f t="shared" si="8"/>
        <v>0</v>
      </c>
      <c r="E59" s="89"/>
      <c r="F59" s="168">
        <f t="shared" si="9"/>
        <v>51216</v>
      </c>
      <c r="G59" s="214">
        <f t="shared" si="6"/>
        <v>54032.88</v>
      </c>
      <c r="H59" s="214">
        <f t="shared" si="7"/>
        <v>0</v>
      </c>
      <c r="I59" s="214">
        <f t="shared" si="10"/>
        <v>0</v>
      </c>
      <c r="J59" s="168">
        <f t="shared" si="11"/>
        <v>54032.88</v>
      </c>
      <c r="K59" s="42"/>
      <c r="L59" s="42"/>
      <c r="M59" s="42"/>
      <c r="N59" s="42"/>
    </row>
    <row r="60" spans="1:14" s="15" customFormat="1" ht="36" customHeight="1">
      <c r="A60" s="87"/>
      <c r="B60" s="134" t="s">
        <v>261</v>
      </c>
      <c r="C60" s="168">
        <f t="shared" si="5"/>
        <v>1705066</v>
      </c>
      <c r="D60" s="214">
        <f t="shared" si="8"/>
        <v>0</v>
      </c>
      <c r="E60" s="89"/>
      <c r="F60" s="168">
        <f t="shared" si="9"/>
        <v>1705066</v>
      </c>
      <c r="G60" s="214">
        <f t="shared" si="6"/>
        <v>1798844.63</v>
      </c>
      <c r="H60" s="214">
        <f t="shared" si="7"/>
        <v>0</v>
      </c>
      <c r="I60" s="214">
        <f t="shared" si="10"/>
        <v>0</v>
      </c>
      <c r="J60" s="168">
        <f t="shared" si="11"/>
        <v>1798844.63</v>
      </c>
      <c r="K60" s="42"/>
      <c r="L60" s="42"/>
      <c r="M60" s="42"/>
      <c r="N60" s="42"/>
    </row>
    <row r="61" spans="1:14" s="15" customFormat="1" ht="28.5" customHeight="1">
      <c r="A61" s="35"/>
      <c r="B61" s="134" t="s">
        <v>262</v>
      </c>
      <c r="C61" s="168">
        <f t="shared" si="5"/>
        <v>60819</v>
      </c>
      <c r="D61" s="214">
        <f t="shared" si="8"/>
        <v>0</v>
      </c>
      <c r="E61" s="216"/>
      <c r="F61" s="168">
        <f t="shared" si="9"/>
        <v>60819</v>
      </c>
      <c r="G61" s="214">
        <f t="shared" si="6"/>
        <v>64164.045</v>
      </c>
      <c r="H61" s="214">
        <f t="shared" si="7"/>
        <v>0</v>
      </c>
      <c r="I61" s="214">
        <f t="shared" si="10"/>
        <v>0</v>
      </c>
      <c r="J61" s="168">
        <f t="shared" si="11"/>
        <v>64164.045</v>
      </c>
      <c r="K61" s="42"/>
      <c r="L61" s="42"/>
      <c r="M61" s="42"/>
      <c r="N61" s="42"/>
    </row>
    <row r="62" spans="1:14" s="15" customFormat="1" ht="42" customHeight="1">
      <c r="A62" s="35"/>
      <c r="B62" s="134" t="s">
        <v>263</v>
      </c>
      <c r="C62" s="168">
        <f t="shared" si="5"/>
        <v>2853158</v>
      </c>
      <c r="D62" s="214">
        <f t="shared" si="8"/>
        <v>0</v>
      </c>
      <c r="E62" s="214"/>
      <c r="F62" s="168">
        <f t="shared" si="9"/>
        <v>2853158</v>
      </c>
      <c r="G62" s="214">
        <f t="shared" si="6"/>
        <v>3010081.69</v>
      </c>
      <c r="H62" s="214">
        <f t="shared" si="7"/>
        <v>0</v>
      </c>
      <c r="I62" s="214">
        <f t="shared" si="10"/>
        <v>0</v>
      </c>
      <c r="J62" s="168">
        <f t="shared" si="11"/>
        <v>3010081.69</v>
      </c>
      <c r="K62" s="42"/>
      <c r="L62" s="42"/>
      <c r="M62" s="42"/>
      <c r="N62" s="42"/>
    </row>
    <row r="63" spans="1:14" s="15" customFormat="1" ht="42" customHeight="1">
      <c r="A63" s="35"/>
      <c r="B63" s="134" t="s">
        <v>193</v>
      </c>
      <c r="C63" s="168">
        <f t="shared" si="5"/>
        <v>160050</v>
      </c>
      <c r="D63" s="214">
        <f t="shared" si="8"/>
        <v>0</v>
      </c>
      <c r="E63" s="214">
        <f>D63</f>
        <v>0</v>
      </c>
      <c r="F63" s="168">
        <f t="shared" si="9"/>
        <v>160050</v>
      </c>
      <c r="G63" s="214">
        <f t="shared" si="6"/>
        <v>168852.75</v>
      </c>
      <c r="H63" s="214">
        <f t="shared" si="7"/>
        <v>0</v>
      </c>
      <c r="I63" s="214">
        <f t="shared" si="10"/>
        <v>0</v>
      </c>
      <c r="J63" s="168">
        <f>G63+H63</f>
        <v>168852.75</v>
      </c>
      <c r="K63" s="42"/>
      <c r="L63" s="42"/>
      <c r="M63" s="42"/>
      <c r="N63" s="42"/>
    </row>
    <row r="64" spans="1:10" ht="47.25" customHeight="1">
      <c r="A64" s="215"/>
      <c r="B64" s="134" t="s">
        <v>164</v>
      </c>
      <c r="C64" s="168">
        <f t="shared" si="5"/>
        <v>0</v>
      </c>
      <c r="D64" s="214">
        <f t="shared" si="8"/>
        <v>0</v>
      </c>
      <c r="E64" s="73"/>
      <c r="F64" s="168">
        <f t="shared" si="9"/>
        <v>0</v>
      </c>
      <c r="G64" s="214">
        <f t="shared" si="6"/>
        <v>0</v>
      </c>
      <c r="H64" s="214">
        <f t="shared" si="7"/>
        <v>0</v>
      </c>
      <c r="I64" s="214">
        <f t="shared" si="10"/>
        <v>0</v>
      </c>
      <c r="J64" s="168">
        <f t="shared" si="11"/>
        <v>0</v>
      </c>
    </row>
    <row r="65" spans="1:10" ht="46.5" customHeight="1">
      <c r="A65" s="215"/>
      <c r="B65" s="134" t="s">
        <v>165</v>
      </c>
      <c r="C65" s="168">
        <f t="shared" si="5"/>
        <v>0</v>
      </c>
      <c r="D65" s="214">
        <f t="shared" si="8"/>
        <v>0</v>
      </c>
      <c r="E65" s="73"/>
      <c r="F65" s="168">
        <f t="shared" si="9"/>
        <v>0</v>
      </c>
      <c r="G65" s="214">
        <f t="shared" si="6"/>
        <v>0</v>
      </c>
      <c r="H65" s="214">
        <f t="shared" si="7"/>
        <v>0</v>
      </c>
      <c r="I65" s="214">
        <f t="shared" si="10"/>
        <v>0</v>
      </c>
      <c r="J65" s="168">
        <f t="shared" si="11"/>
        <v>0</v>
      </c>
    </row>
    <row r="66" spans="1:10" ht="21" customHeight="1">
      <c r="A66" s="215"/>
      <c r="B66" s="279" t="s">
        <v>357</v>
      </c>
      <c r="C66" s="168">
        <f t="shared" si="5"/>
        <v>277420</v>
      </c>
      <c r="D66" s="214">
        <f t="shared" si="8"/>
        <v>0</v>
      </c>
      <c r="E66" s="217"/>
      <c r="F66" s="168">
        <f t="shared" si="9"/>
        <v>277420</v>
      </c>
      <c r="G66" s="214">
        <f t="shared" si="6"/>
        <v>292678.1</v>
      </c>
      <c r="H66" s="214">
        <f t="shared" si="7"/>
        <v>0</v>
      </c>
      <c r="I66" s="214">
        <f t="shared" si="10"/>
        <v>0</v>
      </c>
      <c r="J66" s="168">
        <f t="shared" si="11"/>
        <v>292678.1</v>
      </c>
    </row>
    <row r="67" spans="1:10" ht="15">
      <c r="A67" s="215"/>
      <c r="B67" s="88" t="s">
        <v>331</v>
      </c>
      <c r="C67" s="280">
        <f>SUM(C43:C66)</f>
        <v>10738137.620000001</v>
      </c>
      <c r="D67" s="280">
        <f aca="true" t="shared" si="12" ref="D67:I67">SUM(D43:D66)</f>
        <v>4041261.5</v>
      </c>
      <c r="E67" s="280">
        <f t="shared" si="12"/>
        <v>4041261.5</v>
      </c>
      <c r="F67" s="280">
        <f>SUM(F43:F66)+1</f>
        <v>14779400.12</v>
      </c>
      <c r="G67" s="280">
        <f t="shared" si="12"/>
        <v>11328737.1891</v>
      </c>
      <c r="H67" s="280">
        <f t="shared" si="12"/>
        <v>4263530.882499999</v>
      </c>
      <c r="I67" s="280">
        <f t="shared" si="12"/>
        <v>4263530.882499999</v>
      </c>
      <c r="J67" s="280">
        <f>SUM(J43:J66)</f>
        <v>15592268.0716</v>
      </c>
    </row>
  </sheetData>
  <sheetProtection/>
  <mergeCells count="13">
    <mergeCell ref="C6:F6"/>
    <mergeCell ref="G6:J6"/>
    <mergeCell ref="K6:N6"/>
    <mergeCell ref="B41:J41"/>
    <mergeCell ref="A38:A39"/>
    <mergeCell ref="B38:B39"/>
    <mergeCell ref="B1:N1"/>
    <mergeCell ref="B3:N3"/>
    <mergeCell ref="C38:F38"/>
    <mergeCell ref="G38:J38"/>
    <mergeCell ref="B5:N5"/>
    <mergeCell ref="A6:A7"/>
    <mergeCell ref="B6:B7"/>
  </mergeCells>
  <printOptions horizontalCentered="1"/>
  <pageMargins left="0.2362204724409449" right="0.15748031496062992" top="0.2362204724409449" bottom="0.2755905511811024" header="0.1968503937007874" footer="0.2362204724409449"/>
  <pageSetup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tabColor theme="3" tint="-0.24997000396251678"/>
  </sheetPr>
  <dimension ref="A1:M650"/>
  <sheetViews>
    <sheetView view="pageBreakPreview" zoomScale="70" zoomScaleSheetLayoutView="70" zoomScalePageLayoutView="0" workbookViewId="0" topLeftCell="A6">
      <selection activeCell="E56" sqref="E56"/>
    </sheetView>
  </sheetViews>
  <sheetFormatPr defaultColWidth="9.00390625" defaultRowHeight="15.75"/>
  <cols>
    <col min="1" max="1" width="6.25390625" style="42" customWidth="1"/>
    <col min="2" max="2" width="29.75390625" style="42" customWidth="1"/>
    <col min="3" max="3" width="14.75390625" style="42" customWidth="1"/>
    <col min="4" max="4" width="35.00390625" style="42" customWidth="1"/>
    <col min="5" max="5" width="15.75390625" style="42" customWidth="1"/>
    <col min="6" max="6" width="13.75390625" style="42" customWidth="1"/>
    <col min="7" max="7" width="12.50390625" style="42" customWidth="1"/>
    <col min="8" max="8" width="13.25390625" style="42" customWidth="1"/>
    <col min="9" max="9" width="12.75390625" style="42" customWidth="1"/>
    <col min="10" max="10" width="13.25390625" style="42" customWidth="1"/>
    <col min="11" max="11" width="12.50390625" style="42" customWidth="1"/>
    <col min="12" max="12" width="15.125" style="42" customWidth="1"/>
    <col min="13" max="13" width="13.50390625" style="0" customWidth="1"/>
  </cols>
  <sheetData>
    <row r="1" spans="2:4" s="15" customFormat="1" ht="10.5" customHeight="1">
      <c r="B1" s="1"/>
      <c r="C1" s="1"/>
      <c r="D1" s="1"/>
    </row>
    <row r="2" spans="1:13" s="15" customFormat="1" ht="15">
      <c r="A2" s="11" t="s">
        <v>47</v>
      </c>
      <c r="B2" s="473" t="s">
        <v>482</v>
      </c>
      <c r="C2" s="473"/>
      <c r="D2" s="473"/>
      <c r="E2" s="473"/>
      <c r="F2" s="473"/>
      <c r="G2" s="473"/>
      <c r="H2" s="473"/>
      <c r="I2" s="473"/>
      <c r="J2" s="473"/>
      <c r="K2" s="473"/>
      <c r="L2" s="473"/>
      <c r="M2" s="473"/>
    </row>
    <row r="3" spans="1:13" s="15" customFormat="1" ht="29.25" customHeight="1">
      <c r="A3" s="11" t="s">
        <v>334</v>
      </c>
      <c r="B3" s="473" t="s">
        <v>483</v>
      </c>
      <c r="C3" s="473"/>
      <c r="D3" s="473"/>
      <c r="E3" s="473"/>
      <c r="F3" s="473"/>
      <c r="G3" s="473"/>
      <c r="H3" s="473"/>
      <c r="I3" s="473"/>
      <c r="J3" s="473"/>
      <c r="K3" s="473"/>
      <c r="L3" s="473"/>
      <c r="M3" s="473"/>
    </row>
    <row r="4" spans="2:4" s="15" customFormat="1" ht="15">
      <c r="B4" s="1"/>
      <c r="C4" s="1"/>
      <c r="D4" s="1"/>
    </row>
    <row r="5" spans="1:13" s="65" customFormat="1" ht="29.25" customHeight="1">
      <c r="A5" s="469" t="s">
        <v>24</v>
      </c>
      <c r="B5" s="438" t="s">
        <v>48</v>
      </c>
      <c r="C5" s="438" t="s">
        <v>49</v>
      </c>
      <c r="D5" s="438" t="s">
        <v>50</v>
      </c>
      <c r="E5" s="438" t="s">
        <v>358</v>
      </c>
      <c r="F5" s="438"/>
      <c r="G5" s="438"/>
      <c r="H5" s="437" t="s">
        <v>339</v>
      </c>
      <c r="I5" s="454"/>
      <c r="J5" s="426"/>
      <c r="K5" s="437" t="s">
        <v>340</v>
      </c>
      <c r="L5" s="454"/>
      <c r="M5" s="426"/>
    </row>
    <row r="6" spans="1:13" s="15" customFormat="1" ht="27.75" customHeight="1">
      <c r="A6" s="474"/>
      <c r="B6" s="438"/>
      <c r="C6" s="438"/>
      <c r="D6" s="438"/>
      <c r="E6" s="2" t="s">
        <v>3</v>
      </c>
      <c r="F6" s="2" t="s">
        <v>4</v>
      </c>
      <c r="G6" s="2" t="s">
        <v>484</v>
      </c>
      <c r="H6" s="2" t="s">
        <v>3</v>
      </c>
      <c r="I6" s="2" t="s">
        <v>4</v>
      </c>
      <c r="J6" s="2" t="s">
        <v>108</v>
      </c>
      <c r="K6" s="2" t="s">
        <v>3</v>
      </c>
      <c r="L6" s="2" t="s">
        <v>4</v>
      </c>
      <c r="M6" s="2" t="s">
        <v>485</v>
      </c>
    </row>
    <row r="7" spans="1:13" ht="36.75" customHeight="1" hidden="1">
      <c r="A7" s="45"/>
      <c r="B7" s="48"/>
      <c r="C7" s="503"/>
      <c r="D7" s="503"/>
      <c r="E7" s="503"/>
      <c r="F7" s="503"/>
      <c r="G7" s="503"/>
      <c r="H7" s="503"/>
      <c r="I7" s="503"/>
      <c r="J7" s="503"/>
      <c r="K7" s="503"/>
      <c r="L7" s="503"/>
      <c r="M7" s="215"/>
    </row>
    <row r="8" spans="1:13" s="15" customFormat="1" ht="15">
      <c r="A8" s="2">
        <v>1</v>
      </c>
      <c r="B8" s="2">
        <v>2</v>
      </c>
      <c r="C8" s="2">
        <v>3</v>
      </c>
      <c r="D8" s="2">
        <v>4</v>
      </c>
      <c r="E8" s="2">
        <v>5</v>
      </c>
      <c r="F8" s="2">
        <v>6</v>
      </c>
      <c r="G8" s="2">
        <v>7</v>
      </c>
      <c r="H8" s="2">
        <v>8</v>
      </c>
      <c r="I8" s="2">
        <v>9</v>
      </c>
      <c r="J8" s="2">
        <v>10</v>
      </c>
      <c r="K8" s="2">
        <v>11</v>
      </c>
      <c r="L8" s="2">
        <v>12</v>
      </c>
      <c r="M8" s="2">
        <v>13</v>
      </c>
    </row>
    <row r="9" spans="1:13" s="15" customFormat="1" ht="48.75" customHeight="1">
      <c r="A9" s="207"/>
      <c r="B9" s="382" t="s">
        <v>158</v>
      </c>
      <c r="C9" s="2"/>
      <c r="D9" s="2"/>
      <c r="E9" s="2"/>
      <c r="F9" s="2"/>
      <c r="G9" s="2"/>
      <c r="H9" s="2"/>
      <c r="I9" s="2"/>
      <c r="J9" s="2"/>
      <c r="K9" s="2"/>
      <c r="L9" s="2"/>
      <c r="M9" s="73"/>
    </row>
    <row r="10" spans="1:13" s="15" customFormat="1" ht="27.75" customHeight="1">
      <c r="A10" s="173"/>
      <c r="B10" s="194"/>
      <c r="C10" s="475" t="s">
        <v>255</v>
      </c>
      <c r="D10" s="487"/>
      <c r="E10" s="487"/>
      <c r="F10" s="487"/>
      <c r="G10" s="487"/>
      <c r="H10" s="487"/>
      <c r="I10" s="487"/>
      <c r="J10" s="487"/>
      <c r="K10" s="487"/>
      <c r="L10" s="487"/>
      <c r="M10" s="73"/>
    </row>
    <row r="11" spans="1:13" s="15" customFormat="1" ht="27.75" customHeight="1">
      <c r="A11" s="173"/>
      <c r="B11" s="194"/>
      <c r="C11" s="475" t="s">
        <v>264</v>
      </c>
      <c r="D11" s="487"/>
      <c r="E11" s="487"/>
      <c r="F11" s="487"/>
      <c r="G11" s="487"/>
      <c r="H11" s="487"/>
      <c r="I11" s="487"/>
      <c r="J11" s="487"/>
      <c r="K11" s="487"/>
      <c r="L11" s="487"/>
      <c r="M11" s="73"/>
    </row>
    <row r="12" spans="1:13" s="15" customFormat="1" ht="33.75" customHeight="1" hidden="1">
      <c r="A12" s="173"/>
      <c r="B12" s="194" t="s">
        <v>51</v>
      </c>
      <c r="C12" s="475" t="s">
        <v>266</v>
      </c>
      <c r="D12" s="487"/>
      <c r="E12" s="487"/>
      <c r="F12" s="487"/>
      <c r="G12" s="487"/>
      <c r="H12" s="487"/>
      <c r="I12" s="487"/>
      <c r="J12" s="487"/>
      <c r="K12" s="487"/>
      <c r="L12" s="487"/>
      <c r="M12" s="73"/>
    </row>
    <row r="13" spans="1:13" s="15" customFormat="1" ht="15" hidden="1">
      <c r="A13" s="195"/>
      <c r="B13" s="83" t="s">
        <v>150</v>
      </c>
      <c r="C13" s="91"/>
      <c r="D13" s="196"/>
      <c r="E13" s="484"/>
      <c r="F13" s="484"/>
      <c r="G13" s="197"/>
      <c r="H13" s="484"/>
      <c r="I13" s="484"/>
      <c r="J13" s="197"/>
      <c r="K13" s="484"/>
      <c r="L13" s="484"/>
      <c r="M13" s="73"/>
    </row>
    <row r="14" spans="1:13" s="15" customFormat="1" ht="39" customHeight="1" hidden="1">
      <c r="A14" s="195"/>
      <c r="B14" s="4" t="s">
        <v>166</v>
      </c>
      <c r="C14" s="91" t="s">
        <v>63</v>
      </c>
      <c r="D14" s="438" t="s">
        <v>317</v>
      </c>
      <c r="E14" s="197"/>
      <c r="F14" s="197"/>
      <c r="G14" s="197"/>
      <c r="H14" s="197"/>
      <c r="I14" s="198"/>
      <c r="J14" s="198"/>
      <c r="K14" s="197"/>
      <c r="L14" s="197">
        <v>670000</v>
      </c>
      <c r="M14" s="73"/>
    </row>
    <row r="15" spans="1:13" s="15" customFormat="1" ht="27" customHeight="1" hidden="1">
      <c r="A15" s="195"/>
      <c r="B15" s="4"/>
      <c r="C15" s="91"/>
      <c r="D15" s="438"/>
      <c r="E15" s="484"/>
      <c r="F15" s="484"/>
      <c r="G15" s="197"/>
      <c r="H15" s="197"/>
      <c r="I15" s="198"/>
      <c r="J15" s="198"/>
      <c r="K15" s="197"/>
      <c r="L15" s="197"/>
      <c r="M15" s="73"/>
    </row>
    <row r="16" spans="1:13" s="15" customFormat="1" ht="29.25" customHeight="1" hidden="1">
      <c r="A16" s="195"/>
      <c r="B16" s="4"/>
      <c r="C16" s="91"/>
      <c r="D16" s="14"/>
      <c r="E16" s="485"/>
      <c r="F16" s="485"/>
      <c r="G16" s="197"/>
      <c r="H16" s="178"/>
      <c r="I16" s="179"/>
      <c r="J16" s="179"/>
      <c r="K16" s="178"/>
      <c r="L16" s="178"/>
      <c r="M16" s="73"/>
    </row>
    <row r="17" spans="1:13" s="15" customFormat="1" ht="15" hidden="1">
      <c r="A17" s="195"/>
      <c r="B17" s="83" t="s">
        <v>152</v>
      </c>
      <c r="C17" s="91"/>
      <c r="D17" s="196"/>
      <c r="E17" s="484"/>
      <c r="F17" s="484"/>
      <c r="G17" s="197"/>
      <c r="H17" s="197"/>
      <c r="I17" s="198"/>
      <c r="J17" s="198"/>
      <c r="K17" s="197"/>
      <c r="L17" s="197"/>
      <c r="M17" s="73"/>
    </row>
    <row r="18" spans="1:13" s="15" customFormat="1" ht="84" customHeight="1" hidden="1">
      <c r="A18" s="195"/>
      <c r="B18" s="4" t="s">
        <v>265</v>
      </c>
      <c r="C18" s="91" t="s">
        <v>153</v>
      </c>
      <c r="D18" s="14" t="s">
        <v>315</v>
      </c>
      <c r="E18" s="178"/>
      <c r="F18" s="178"/>
      <c r="G18" s="197"/>
      <c r="H18" s="178"/>
      <c r="I18" s="179"/>
      <c r="J18" s="179"/>
      <c r="K18" s="178"/>
      <c r="L18" s="178">
        <v>2</v>
      </c>
      <c r="M18" s="73"/>
    </row>
    <row r="19" spans="1:13" s="15" customFormat="1" ht="25.5" customHeight="1" hidden="1">
      <c r="A19" s="195"/>
      <c r="B19" s="4" t="s">
        <v>168</v>
      </c>
      <c r="C19" s="91" t="s">
        <v>153</v>
      </c>
      <c r="D19" s="196"/>
      <c r="E19" s="200"/>
      <c r="F19" s="197"/>
      <c r="G19" s="197"/>
      <c r="H19" s="200"/>
      <c r="I19" s="197"/>
      <c r="J19" s="197"/>
      <c r="K19" s="200"/>
      <c r="L19" s="197"/>
      <c r="M19" s="73"/>
    </row>
    <row r="20" spans="1:13" s="15" customFormat="1" ht="15" hidden="1">
      <c r="A20" s="195"/>
      <c r="B20" s="83" t="s">
        <v>154</v>
      </c>
      <c r="C20" s="91"/>
      <c r="D20" s="196"/>
      <c r="E20" s="484"/>
      <c r="F20" s="484"/>
      <c r="G20" s="197"/>
      <c r="H20" s="197"/>
      <c r="I20" s="198"/>
      <c r="J20" s="198"/>
      <c r="K20" s="197"/>
      <c r="L20" s="197"/>
      <c r="M20" s="73"/>
    </row>
    <row r="21" spans="1:13" s="15" customFormat="1" ht="24" customHeight="1" hidden="1">
      <c r="A21" s="174"/>
      <c r="B21" s="4" t="s">
        <v>281</v>
      </c>
      <c r="C21" s="91" t="s">
        <v>63</v>
      </c>
      <c r="D21" s="196" t="s">
        <v>109</v>
      </c>
      <c r="E21" s="197"/>
      <c r="F21" s="197"/>
      <c r="G21" s="197"/>
      <c r="H21" s="197" t="e">
        <f>H14/H18</f>
        <v>#DIV/0!</v>
      </c>
      <c r="I21" s="198"/>
      <c r="J21" s="198"/>
      <c r="K21" s="197"/>
      <c r="L21" s="197">
        <f>L14/L18</f>
        <v>335000</v>
      </c>
      <c r="M21" s="73"/>
    </row>
    <row r="22" spans="1:13" s="15" customFormat="1" ht="46.5" customHeight="1">
      <c r="A22" s="173"/>
      <c r="B22" s="194" t="s">
        <v>51</v>
      </c>
      <c r="C22" s="475" t="s">
        <v>267</v>
      </c>
      <c r="D22" s="487"/>
      <c r="E22" s="487"/>
      <c r="F22" s="487"/>
      <c r="G22" s="487"/>
      <c r="H22" s="487"/>
      <c r="I22" s="487"/>
      <c r="J22" s="487"/>
      <c r="K22" s="487"/>
      <c r="L22" s="487"/>
      <c r="M22" s="73"/>
    </row>
    <row r="23" spans="1:13" s="15" customFormat="1" ht="15">
      <c r="A23" s="195"/>
      <c r="B23" s="83" t="s">
        <v>150</v>
      </c>
      <c r="C23" s="91"/>
      <c r="D23" s="196"/>
      <c r="E23" s="484"/>
      <c r="F23" s="484"/>
      <c r="G23" s="197"/>
      <c r="H23" s="484"/>
      <c r="I23" s="484"/>
      <c r="J23" s="197"/>
      <c r="K23" s="484"/>
      <c r="L23" s="484"/>
      <c r="M23" s="73"/>
    </row>
    <row r="24" spans="1:13" s="15" customFormat="1" ht="39" customHeight="1">
      <c r="A24" s="195"/>
      <c r="B24" s="4" t="s">
        <v>166</v>
      </c>
      <c r="C24" s="91" t="s">
        <v>63</v>
      </c>
      <c r="D24" s="438" t="s">
        <v>207</v>
      </c>
      <c r="E24" s="197"/>
      <c r="F24" s="197"/>
      <c r="G24" s="197"/>
      <c r="H24" s="197"/>
      <c r="I24" s="197">
        <v>330000</v>
      </c>
      <c r="J24" s="197">
        <f>I24</f>
        <v>330000</v>
      </c>
      <c r="K24" s="197"/>
      <c r="L24" s="197">
        <v>110000</v>
      </c>
      <c r="M24" s="414">
        <f>L24</f>
        <v>110000</v>
      </c>
    </row>
    <row r="25" spans="1:13" s="15" customFormat="1" ht="27" customHeight="1" hidden="1">
      <c r="A25" s="195"/>
      <c r="B25" s="4"/>
      <c r="C25" s="91"/>
      <c r="D25" s="438"/>
      <c r="E25" s="484"/>
      <c r="F25" s="484"/>
      <c r="G25" s="197"/>
      <c r="H25" s="197"/>
      <c r="I25" s="197"/>
      <c r="J25" s="197"/>
      <c r="K25" s="197"/>
      <c r="L25" s="197"/>
      <c r="M25" s="90"/>
    </row>
    <row r="26" spans="1:13" s="15" customFormat="1" ht="29.25" customHeight="1" hidden="1">
      <c r="A26" s="195"/>
      <c r="B26" s="4"/>
      <c r="C26" s="91"/>
      <c r="D26" s="14"/>
      <c r="E26" s="485"/>
      <c r="F26" s="485"/>
      <c r="G26" s="197"/>
      <c r="H26" s="178"/>
      <c r="I26" s="178"/>
      <c r="J26" s="178"/>
      <c r="K26" s="178"/>
      <c r="L26" s="178"/>
      <c r="M26" s="90"/>
    </row>
    <row r="27" spans="1:13" s="15" customFormat="1" ht="15">
      <c r="A27" s="195"/>
      <c r="B27" s="83" t="s">
        <v>152</v>
      </c>
      <c r="C27" s="91"/>
      <c r="D27" s="196"/>
      <c r="E27" s="484"/>
      <c r="F27" s="484"/>
      <c r="G27" s="197"/>
      <c r="H27" s="197"/>
      <c r="I27" s="197"/>
      <c r="J27" s="197"/>
      <c r="K27" s="197"/>
      <c r="L27" s="197"/>
      <c r="M27" s="90"/>
    </row>
    <row r="28" spans="1:13" s="15" customFormat="1" ht="85.5" customHeight="1">
      <c r="A28" s="195"/>
      <c r="B28" s="4" t="s">
        <v>268</v>
      </c>
      <c r="C28" s="91" t="s">
        <v>153</v>
      </c>
      <c r="D28" s="14" t="s">
        <v>319</v>
      </c>
      <c r="E28" s="178"/>
      <c r="F28" s="178"/>
      <c r="G28" s="197"/>
      <c r="H28" s="178"/>
      <c r="I28" s="178">
        <v>3</v>
      </c>
      <c r="J28" s="178">
        <f>I28</f>
        <v>3</v>
      </c>
      <c r="K28" s="178"/>
      <c r="L28" s="178">
        <v>2</v>
      </c>
      <c r="M28" s="414">
        <f>L28</f>
        <v>2</v>
      </c>
    </row>
    <row r="29" spans="1:13" s="15" customFormat="1" ht="25.5" customHeight="1" hidden="1">
      <c r="A29" s="195"/>
      <c r="B29" s="4" t="s">
        <v>168</v>
      </c>
      <c r="C29" s="91" t="s">
        <v>153</v>
      </c>
      <c r="D29" s="196"/>
      <c r="E29" s="200"/>
      <c r="F29" s="197"/>
      <c r="G29" s="197"/>
      <c r="H29" s="200"/>
      <c r="I29" s="197"/>
      <c r="J29" s="197"/>
      <c r="K29" s="200"/>
      <c r="L29" s="197"/>
      <c r="M29" s="90"/>
    </row>
    <row r="30" spans="1:13" s="15" customFormat="1" ht="15">
      <c r="A30" s="195"/>
      <c r="B30" s="83" t="s">
        <v>154</v>
      </c>
      <c r="C30" s="91"/>
      <c r="D30" s="196"/>
      <c r="E30" s="484"/>
      <c r="F30" s="484"/>
      <c r="G30" s="197"/>
      <c r="H30" s="197"/>
      <c r="I30" s="198"/>
      <c r="J30" s="198"/>
      <c r="K30" s="197"/>
      <c r="L30" s="197"/>
      <c r="M30" s="90"/>
    </row>
    <row r="31" spans="1:13" s="15" customFormat="1" ht="24" customHeight="1">
      <c r="A31" s="174"/>
      <c r="B31" s="4" t="s">
        <v>269</v>
      </c>
      <c r="C31" s="91" t="s">
        <v>63</v>
      </c>
      <c r="D31" s="196" t="s">
        <v>109</v>
      </c>
      <c r="E31" s="197"/>
      <c r="F31" s="197"/>
      <c r="G31" s="197"/>
      <c r="H31" s="197"/>
      <c r="I31" s="197">
        <v>110000</v>
      </c>
      <c r="J31" s="197">
        <f>I31</f>
        <v>110000</v>
      </c>
      <c r="K31" s="197"/>
      <c r="L31" s="197">
        <f>L24/L28</f>
        <v>55000</v>
      </c>
      <c r="M31" s="414">
        <f>L31</f>
        <v>55000</v>
      </c>
    </row>
    <row r="32" spans="1:13" s="15" customFormat="1" ht="22.5" customHeight="1">
      <c r="A32" s="173"/>
      <c r="B32" s="194" t="s">
        <v>51</v>
      </c>
      <c r="C32" s="475" t="s">
        <v>359</v>
      </c>
      <c r="D32" s="487"/>
      <c r="E32" s="487"/>
      <c r="F32" s="487"/>
      <c r="G32" s="487"/>
      <c r="H32" s="487"/>
      <c r="I32" s="487"/>
      <c r="J32" s="487"/>
      <c r="K32" s="487"/>
      <c r="L32" s="487"/>
      <c r="M32" s="73"/>
    </row>
    <row r="33" spans="1:13" s="15" customFormat="1" ht="15">
      <c r="A33" s="195"/>
      <c r="B33" s="83" t="s">
        <v>150</v>
      </c>
      <c r="C33" s="91"/>
      <c r="D33" s="196"/>
      <c r="E33" s="484"/>
      <c r="F33" s="484"/>
      <c r="G33" s="197"/>
      <c r="H33" s="484"/>
      <c r="I33" s="484"/>
      <c r="J33" s="197"/>
      <c r="K33" s="484"/>
      <c r="L33" s="484"/>
      <c r="M33" s="73"/>
    </row>
    <row r="34" spans="1:13" s="15" customFormat="1" ht="39" customHeight="1">
      <c r="A34" s="195"/>
      <c r="B34" s="4" t="s">
        <v>166</v>
      </c>
      <c r="C34" s="91" t="s">
        <v>63</v>
      </c>
      <c r="D34" s="438" t="s">
        <v>362</v>
      </c>
      <c r="E34" s="197"/>
      <c r="F34" s="197"/>
      <c r="G34" s="197"/>
      <c r="H34" s="197">
        <v>150000</v>
      </c>
      <c r="I34" s="198"/>
      <c r="J34" s="197">
        <f>H34</f>
        <v>150000</v>
      </c>
      <c r="K34" s="197">
        <v>840000</v>
      </c>
      <c r="L34" s="197"/>
      <c r="M34" s="417">
        <f>K34</f>
        <v>840000</v>
      </c>
    </row>
    <row r="35" spans="1:13" s="15" customFormat="1" ht="27" customHeight="1" hidden="1">
      <c r="A35" s="195"/>
      <c r="B35" s="4"/>
      <c r="C35" s="91"/>
      <c r="D35" s="438"/>
      <c r="E35" s="484"/>
      <c r="F35" s="484"/>
      <c r="G35" s="197"/>
      <c r="H35" s="197"/>
      <c r="I35" s="198"/>
      <c r="J35" s="197"/>
      <c r="K35" s="197"/>
      <c r="L35" s="197"/>
      <c r="M35" s="67"/>
    </row>
    <row r="36" spans="1:13" s="15" customFormat="1" ht="29.25" customHeight="1" hidden="1">
      <c r="A36" s="195"/>
      <c r="B36" s="4"/>
      <c r="C36" s="91"/>
      <c r="D36" s="14"/>
      <c r="E36" s="485"/>
      <c r="F36" s="485"/>
      <c r="G36" s="197"/>
      <c r="H36" s="178"/>
      <c r="I36" s="179"/>
      <c r="J36" s="178"/>
      <c r="K36" s="178"/>
      <c r="L36" s="178"/>
      <c r="M36" s="67"/>
    </row>
    <row r="37" spans="1:13" s="15" customFormat="1" ht="15">
      <c r="A37" s="195"/>
      <c r="B37" s="83" t="s">
        <v>152</v>
      </c>
      <c r="C37" s="91"/>
      <c r="D37" s="196"/>
      <c r="E37" s="484"/>
      <c r="F37" s="484"/>
      <c r="G37" s="197"/>
      <c r="H37" s="197"/>
      <c r="I37" s="198"/>
      <c r="J37" s="197"/>
      <c r="K37" s="197"/>
      <c r="L37" s="197"/>
      <c r="M37" s="67"/>
    </row>
    <row r="38" spans="1:13" s="15" customFormat="1" ht="85.5" customHeight="1">
      <c r="A38" s="195"/>
      <c r="B38" s="4" t="s">
        <v>360</v>
      </c>
      <c r="C38" s="91" t="s">
        <v>153</v>
      </c>
      <c r="D38" s="14" t="s">
        <v>319</v>
      </c>
      <c r="E38" s="178"/>
      <c r="F38" s="178"/>
      <c r="G38" s="197"/>
      <c r="H38" s="178">
        <v>15</v>
      </c>
      <c r="I38" s="179"/>
      <c r="J38" s="178">
        <f>H38</f>
        <v>15</v>
      </c>
      <c r="K38" s="178">
        <v>210</v>
      </c>
      <c r="L38" s="178"/>
      <c r="M38" s="417">
        <f>K38</f>
        <v>210</v>
      </c>
    </row>
    <row r="39" spans="1:13" s="15" customFormat="1" ht="25.5" customHeight="1" hidden="1">
      <c r="A39" s="195"/>
      <c r="B39" s="4" t="s">
        <v>168</v>
      </c>
      <c r="C39" s="91" t="s">
        <v>153</v>
      </c>
      <c r="D39" s="196"/>
      <c r="E39" s="200"/>
      <c r="F39" s="197"/>
      <c r="G39" s="197"/>
      <c r="H39" s="200"/>
      <c r="I39" s="197"/>
      <c r="J39" s="197"/>
      <c r="K39" s="200"/>
      <c r="L39" s="197"/>
      <c r="M39" s="67"/>
    </row>
    <row r="40" spans="1:13" s="15" customFormat="1" ht="15">
      <c r="A40" s="195"/>
      <c r="B40" s="83" t="s">
        <v>154</v>
      </c>
      <c r="C40" s="91"/>
      <c r="D40" s="196"/>
      <c r="E40" s="484"/>
      <c r="F40" s="484"/>
      <c r="G40" s="197"/>
      <c r="H40" s="197"/>
      <c r="I40" s="198"/>
      <c r="J40" s="197"/>
      <c r="K40" s="197"/>
      <c r="L40" s="197"/>
      <c r="M40" s="67"/>
    </row>
    <row r="41" spans="1:13" s="15" customFormat="1" ht="24" customHeight="1">
      <c r="A41" s="174"/>
      <c r="B41" s="4" t="s">
        <v>361</v>
      </c>
      <c r="C41" s="91" t="s">
        <v>63</v>
      </c>
      <c r="D41" s="196" t="s">
        <v>109</v>
      </c>
      <c r="E41" s="197"/>
      <c r="F41" s="197"/>
      <c r="G41" s="197"/>
      <c r="H41" s="197">
        <f>H34/H38</f>
        <v>10000</v>
      </c>
      <c r="I41" s="198"/>
      <c r="J41" s="197">
        <f>H41</f>
        <v>10000</v>
      </c>
      <c r="K41" s="197">
        <f>K34/K38</f>
        <v>4000</v>
      </c>
      <c r="L41" s="197" t="e">
        <f>L34/L38</f>
        <v>#DIV/0!</v>
      </c>
      <c r="M41" s="417">
        <f>K41</f>
        <v>4000</v>
      </c>
    </row>
    <row r="42" spans="1:13" s="15" customFormat="1" ht="27.75" customHeight="1">
      <c r="A42" s="173"/>
      <c r="B42" s="194"/>
      <c r="C42" s="475" t="s">
        <v>202</v>
      </c>
      <c r="D42" s="487"/>
      <c r="E42" s="487"/>
      <c r="F42" s="487"/>
      <c r="G42" s="487"/>
      <c r="H42" s="487"/>
      <c r="I42" s="487"/>
      <c r="J42" s="487"/>
      <c r="K42" s="487"/>
      <c r="L42" s="487"/>
      <c r="M42" s="73"/>
    </row>
    <row r="43" spans="1:13" s="15" customFormat="1" ht="27" customHeight="1">
      <c r="A43" s="173"/>
      <c r="B43" s="194" t="s">
        <v>51</v>
      </c>
      <c r="C43" s="475" t="s">
        <v>203</v>
      </c>
      <c r="D43" s="487"/>
      <c r="E43" s="487"/>
      <c r="F43" s="487"/>
      <c r="G43" s="487"/>
      <c r="H43" s="487"/>
      <c r="I43" s="487"/>
      <c r="J43" s="487"/>
      <c r="K43" s="487"/>
      <c r="L43" s="487"/>
      <c r="M43" s="73"/>
    </row>
    <row r="44" spans="1:13" s="15" customFormat="1" ht="15">
      <c r="A44" s="195"/>
      <c r="B44" s="83" t="s">
        <v>150</v>
      </c>
      <c r="C44" s="91"/>
      <c r="D44" s="196"/>
      <c r="E44" s="484"/>
      <c r="F44" s="484"/>
      <c r="G44" s="197"/>
      <c r="H44" s="484"/>
      <c r="I44" s="484"/>
      <c r="J44" s="197"/>
      <c r="K44" s="484"/>
      <c r="L44" s="484"/>
      <c r="M44" s="73"/>
    </row>
    <row r="45" spans="1:13" s="15" customFormat="1" ht="39" customHeight="1">
      <c r="A45" s="195"/>
      <c r="B45" s="4" t="s">
        <v>166</v>
      </c>
      <c r="C45" s="91" t="s">
        <v>63</v>
      </c>
      <c r="D45" s="438" t="s">
        <v>448</v>
      </c>
      <c r="E45" s="197">
        <f>57119.38</f>
        <v>57119.38</v>
      </c>
      <c r="F45" s="197"/>
      <c r="G45" s="197">
        <f>E45</f>
        <v>57119.38</v>
      </c>
      <c r="H45" s="197"/>
      <c r="I45" s="198"/>
      <c r="J45" s="198"/>
      <c r="K45" s="197"/>
      <c r="L45" s="198"/>
      <c r="M45" s="73"/>
    </row>
    <row r="46" spans="1:13" s="15" customFormat="1" ht="27" customHeight="1" hidden="1">
      <c r="A46" s="195"/>
      <c r="B46" s="4"/>
      <c r="C46" s="91"/>
      <c r="D46" s="438"/>
      <c r="E46" s="484"/>
      <c r="F46" s="484"/>
      <c r="G46" s="197"/>
      <c r="H46" s="197"/>
      <c r="I46" s="198"/>
      <c r="J46" s="198"/>
      <c r="K46" s="197"/>
      <c r="L46" s="198"/>
      <c r="M46" s="73"/>
    </row>
    <row r="47" spans="1:13" s="15" customFormat="1" ht="29.25" customHeight="1" hidden="1">
      <c r="A47" s="195"/>
      <c r="B47" s="4"/>
      <c r="C47" s="91"/>
      <c r="D47" s="14"/>
      <c r="E47" s="485"/>
      <c r="F47" s="485"/>
      <c r="G47" s="197"/>
      <c r="H47" s="178"/>
      <c r="I47" s="179"/>
      <c r="J47" s="179"/>
      <c r="K47" s="178"/>
      <c r="L47" s="179"/>
      <c r="M47" s="73"/>
    </row>
    <row r="48" spans="1:13" s="15" customFormat="1" ht="15">
      <c r="A48" s="195"/>
      <c r="B48" s="83" t="s">
        <v>152</v>
      </c>
      <c r="C48" s="91"/>
      <c r="D48" s="196"/>
      <c r="E48" s="484"/>
      <c r="F48" s="484"/>
      <c r="G48" s="197"/>
      <c r="H48" s="197"/>
      <c r="I48" s="198"/>
      <c r="J48" s="198"/>
      <c r="K48" s="197"/>
      <c r="L48" s="198"/>
      <c r="M48" s="73"/>
    </row>
    <row r="49" spans="1:13" s="15" customFormat="1" ht="99" customHeight="1">
      <c r="A49" s="195"/>
      <c r="B49" s="4" t="s">
        <v>204</v>
      </c>
      <c r="C49" s="91" t="s">
        <v>153</v>
      </c>
      <c r="D49" s="14" t="s">
        <v>180</v>
      </c>
      <c r="E49" s="178">
        <v>7</v>
      </c>
      <c r="F49" s="178"/>
      <c r="G49" s="197">
        <f>E49</f>
        <v>7</v>
      </c>
      <c r="H49" s="178"/>
      <c r="I49" s="179"/>
      <c r="J49" s="179"/>
      <c r="K49" s="178"/>
      <c r="L49" s="179"/>
      <c r="M49" s="73"/>
    </row>
    <row r="50" spans="1:13" s="15" customFormat="1" ht="25.5" customHeight="1" hidden="1">
      <c r="A50" s="195"/>
      <c r="B50" s="4" t="s">
        <v>168</v>
      </c>
      <c r="C50" s="91" t="s">
        <v>153</v>
      </c>
      <c r="D50" s="196"/>
      <c r="E50" s="200"/>
      <c r="F50" s="197"/>
      <c r="G50" s="197"/>
      <c r="H50" s="200"/>
      <c r="I50" s="197"/>
      <c r="J50" s="197"/>
      <c r="K50" s="200"/>
      <c r="L50" s="197"/>
      <c r="M50" s="73"/>
    </row>
    <row r="51" spans="1:13" s="15" customFormat="1" ht="15">
      <c r="A51" s="195"/>
      <c r="B51" s="83" t="s">
        <v>154</v>
      </c>
      <c r="C51" s="91"/>
      <c r="D51" s="196"/>
      <c r="E51" s="484"/>
      <c r="F51" s="484"/>
      <c r="G51" s="197"/>
      <c r="H51" s="197"/>
      <c r="I51" s="198"/>
      <c r="J51" s="198"/>
      <c r="K51" s="197"/>
      <c r="L51" s="198"/>
      <c r="M51" s="73"/>
    </row>
    <row r="52" spans="1:13" s="15" customFormat="1" ht="24" customHeight="1">
      <c r="A52" s="174"/>
      <c r="B52" s="4" t="s">
        <v>205</v>
      </c>
      <c r="C52" s="91" t="s">
        <v>63</v>
      </c>
      <c r="D52" s="196" t="s">
        <v>109</v>
      </c>
      <c r="E52" s="197">
        <f>E45/E49</f>
        <v>8159.911428571429</v>
      </c>
      <c r="F52" s="197"/>
      <c r="G52" s="197">
        <f>E52</f>
        <v>8159.911428571429</v>
      </c>
      <c r="H52" s="197" t="e">
        <f>H45/H49</f>
        <v>#DIV/0!</v>
      </c>
      <c r="I52" s="198"/>
      <c r="J52" s="198"/>
      <c r="K52" s="197" t="e">
        <f>K45/K49</f>
        <v>#DIV/0!</v>
      </c>
      <c r="L52" s="198"/>
      <c r="M52" s="73"/>
    </row>
    <row r="53" spans="1:13" s="245" customFormat="1" ht="27.75" customHeight="1" hidden="1">
      <c r="A53" s="243"/>
      <c r="B53" s="244"/>
      <c r="C53" s="521" t="s">
        <v>202</v>
      </c>
      <c r="D53" s="522"/>
      <c r="E53" s="522"/>
      <c r="F53" s="522"/>
      <c r="G53" s="522"/>
      <c r="H53" s="522"/>
      <c r="I53" s="522"/>
      <c r="J53" s="522"/>
      <c r="K53" s="522"/>
      <c r="L53" s="522"/>
      <c r="M53" s="383"/>
    </row>
    <row r="54" spans="1:13" s="15" customFormat="1" ht="27" customHeight="1">
      <c r="A54" s="173"/>
      <c r="B54" s="194" t="s">
        <v>51</v>
      </c>
      <c r="C54" s="475" t="s">
        <v>372</v>
      </c>
      <c r="D54" s="487"/>
      <c r="E54" s="487"/>
      <c r="F54" s="487"/>
      <c r="G54" s="487"/>
      <c r="H54" s="487"/>
      <c r="I54" s="487"/>
      <c r="J54" s="487"/>
      <c r="K54" s="487"/>
      <c r="L54" s="487"/>
      <c r="M54" s="73"/>
    </row>
    <row r="55" spans="1:13" s="15" customFormat="1" ht="15">
      <c r="A55" s="195"/>
      <c r="B55" s="83" t="s">
        <v>150</v>
      </c>
      <c r="C55" s="91"/>
      <c r="D55" s="196"/>
      <c r="E55" s="484"/>
      <c r="F55" s="484"/>
      <c r="G55" s="197"/>
      <c r="H55" s="484"/>
      <c r="I55" s="484"/>
      <c r="J55" s="197"/>
      <c r="K55" s="484"/>
      <c r="L55" s="484"/>
      <c r="M55" s="73"/>
    </row>
    <row r="56" spans="1:13" s="15" customFormat="1" ht="39" customHeight="1">
      <c r="A56" s="195"/>
      <c r="B56" s="4" t="s">
        <v>166</v>
      </c>
      <c r="C56" s="91" t="s">
        <v>63</v>
      </c>
      <c r="D56" s="438" t="s">
        <v>362</v>
      </c>
      <c r="E56" s="197"/>
      <c r="F56" s="197"/>
      <c r="G56" s="197"/>
      <c r="H56" s="197"/>
      <c r="I56" s="197">
        <v>150000</v>
      </c>
      <c r="J56" s="197">
        <f>I56</f>
        <v>150000</v>
      </c>
      <c r="K56" s="197"/>
      <c r="L56" s="197">
        <v>150000</v>
      </c>
      <c r="M56" s="414">
        <f>L56</f>
        <v>150000</v>
      </c>
    </row>
    <row r="57" spans="1:13" s="15" customFormat="1" ht="27" customHeight="1" hidden="1">
      <c r="A57" s="195"/>
      <c r="B57" s="4"/>
      <c r="C57" s="91"/>
      <c r="D57" s="438"/>
      <c r="E57" s="484"/>
      <c r="F57" s="484"/>
      <c r="G57" s="197"/>
      <c r="H57" s="197"/>
      <c r="I57" s="197"/>
      <c r="J57" s="197"/>
      <c r="K57" s="197"/>
      <c r="L57" s="197"/>
      <c r="M57" s="90"/>
    </row>
    <row r="58" spans="1:13" s="15" customFormat="1" ht="29.25" customHeight="1" hidden="1">
      <c r="A58" s="195"/>
      <c r="B58" s="4"/>
      <c r="C58" s="91"/>
      <c r="D58" s="14"/>
      <c r="E58" s="485"/>
      <c r="F58" s="485"/>
      <c r="G58" s="197"/>
      <c r="H58" s="178"/>
      <c r="I58" s="178"/>
      <c r="J58" s="178"/>
      <c r="K58" s="178"/>
      <c r="L58" s="178"/>
      <c r="M58" s="90"/>
    </row>
    <row r="59" spans="1:13" s="15" customFormat="1" ht="15">
      <c r="A59" s="195"/>
      <c r="B59" s="83" t="s">
        <v>152</v>
      </c>
      <c r="C59" s="91"/>
      <c r="D59" s="196"/>
      <c r="E59" s="484"/>
      <c r="F59" s="484"/>
      <c r="G59" s="197"/>
      <c r="H59" s="197"/>
      <c r="I59" s="197"/>
      <c r="J59" s="197"/>
      <c r="K59" s="197"/>
      <c r="L59" s="197"/>
      <c r="M59" s="90"/>
    </row>
    <row r="60" spans="1:13" s="15" customFormat="1" ht="99" customHeight="1">
      <c r="A60" s="195"/>
      <c r="B60" s="4" t="s">
        <v>373</v>
      </c>
      <c r="C60" s="91" t="s">
        <v>153</v>
      </c>
      <c r="D60" s="14" t="s">
        <v>180</v>
      </c>
      <c r="E60" s="178"/>
      <c r="F60" s="178"/>
      <c r="G60" s="197"/>
      <c r="H60" s="178"/>
      <c r="I60" s="178">
        <v>120</v>
      </c>
      <c r="J60" s="178">
        <f>I60</f>
        <v>120</v>
      </c>
      <c r="K60" s="178"/>
      <c r="L60" s="178">
        <v>150</v>
      </c>
      <c r="M60" s="414">
        <f>L60</f>
        <v>150</v>
      </c>
    </row>
    <row r="61" spans="1:13" s="15" customFormat="1" ht="25.5" customHeight="1" hidden="1">
      <c r="A61" s="195"/>
      <c r="B61" s="4" t="s">
        <v>168</v>
      </c>
      <c r="C61" s="91" t="s">
        <v>153</v>
      </c>
      <c r="D61" s="196"/>
      <c r="E61" s="200"/>
      <c r="F61" s="197"/>
      <c r="G61" s="197"/>
      <c r="H61" s="200"/>
      <c r="I61" s="197"/>
      <c r="J61" s="197"/>
      <c r="K61" s="200"/>
      <c r="L61" s="197"/>
      <c r="M61" s="90"/>
    </row>
    <row r="62" spans="1:13" s="15" customFormat="1" ht="15">
      <c r="A62" s="195"/>
      <c r="B62" s="83" t="s">
        <v>154</v>
      </c>
      <c r="C62" s="91"/>
      <c r="D62" s="196"/>
      <c r="E62" s="484"/>
      <c r="F62" s="484"/>
      <c r="G62" s="197"/>
      <c r="H62" s="197"/>
      <c r="I62" s="197"/>
      <c r="J62" s="197"/>
      <c r="K62" s="197"/>
      <c r="L62" s="197"/>
      <c r="M62" s="90"/>
    </row>
    <row r="63" spans="1:13" s="15" customFormat="1" ht="24" customHeight="1">
      <c r="A63" s="174"/>
      <c r="B63" s="4" t="s">
        <v>374</v>
      </c>
      <c r="C63" s="91" t="s">
        <v>63</v>
      </c>
      <c r="D63" s="196" t="s">
        <v>109</v>
      </c>
      <c r="E63" s="197" t="e">
        <f>E56/E60</f>
        <v>#DIV/0!</v>
      </c>
      <c r="F63" s="197"/>
      <c r="G63" s="197"/>
      <c r="H63" s="197" t="e">
        <f>H56/H60</f>
        <v>#DIV/0!</v>
      </c>
      <c r="I63" s="197">
        <f>I56/I60</f>
        <v>1250</v>
      </c>
      <c r="J63" s="197">
        <f>I63</f>
        <v>1250</v>
      </c>
      <c r="K63" s="197"/>
      <c r="L63" s="197">
        <f>L56/L60</f>
        <v>1000</v>
      </c>
      <c r="M63" s="414">
        <f>L63</f>
        <v>1000</v>
      </c>
    </row>
    <row r="64" spans="1:13" s="15" customFormat="1" ht="27" customHeight="1">
      <c r="A64" s="173"/>
      <c r="B64" s="194" t="s">
        <v>51</v>
      </c>
      <c r="C64" s="475" t="s">
        <v>271</v>
      </c>
      <c r="D64" s="487"/>
      <c r="E64" s="487"/>
      <c r="F64" s="487"/>
      <c r="G64" s="487"/>
      <c r="H64" s="487"/>
      <c r="I64" s="487"/>
      <c r="J64" s="487"/>
      <c r="K64" s="487"/>
      <c r="L64" s="487"/>
      <c r="M64" s="73"/>
    </row>
    <row r="65" spans="1:13" s="15" customFormat="1" ht="15">
      <c r="A65" s="195"/>
      <c r="B65" s="83" t="s">
        <v>150</v>
      </c>
      <c r="C65" s="91"/>
      <c r="D65" s="196"/>
      <c r="E65" s="484"/>
      <c r="F65" s="484"/>
      <c r="G65" s="197"/>
      <c r="H65" s="484"/>
      <c r="I65" s="484"/>
      <c r="J65" s="197"/>
      <c r="K65" s="484"/>
      <c r="L65" s="484"/>
      <c r="M65" s="73"/>
    </row>
    <row r="66" spans="1:13" s="15" customFormat="1" ht="30" customHeight="1">
      <c r="A66" s="195"/>
      <c r="B66" s="4" t="s">
        <v>166</v>
      </c>
      <c r="C66" s="91" t="s">
        <v>63</v>
      </c>
      <c r="D66" s="438" t="s">
        <v>362</v>
      </c>
      <c r="E66" s="197"/>
      <c r="F66" s="197"/>
      <c r="G66" s="197"/>
      <c r="H66" s="197"/>
      <c r="I66" s="197">
        <f>4797000</f>
        <v>4797000</v>
      </c>
      <c r="J66" s="197">
        <f>I66</f>
        <v>4797000</v>
      </c>
      <c r="K66" s="197"/>
      <c r="L66" s="197">
        <f>1947500</f>
        <v>1947500</v>
      </c>
      <c r="M66" s="415">
        <f>L66</f>
        <v>1947500</v>
      </c>
    </row>
    <row r="67" spans="1:13" s="15" customFormat="1" ht="27" customHeight="1" hidden="1">
      <c r="A67" s="195"/>
      <c r="B67" s="4"/>
      <c r="C67" s="91"/>
      <c r="D67" s="438"/>
      <c r="E67" s="484"/>
      <c r="F67" s="484"/>
      <c r="G67" s="197"/>
      <c r="H67" s="197"/>
      <c r="I67" s="197"/>
      <c r="J67" s="197"/>
      <c r="K67" s="197"/>
      <c r="L67" s="197"/>
      <c r="M67" s="73"/>
    </row>
    <row r="68" spans="1:13" s="15" customFormat="1" ht="29.25" customHeight="1" hidden="1">
      <c r="A68" s="195"/>
      <c r="B68" s="4"/>
      <c r="C68" s="91"/>
      <c r="D68" s="14"/>
      <c r="E68" s="485"/>
      <c r="F68" s="485"/>
      <c r="G68" s="197"/>
      <c r="H68" s="178"/>
      <c r="I68" s="178"/>
      <c r="J68" s="178"/>
      <c r="K68" s="178"/>
      <c r="L68" s="178"/>
      <c r="M68" s="73"/>
    </row>
    <row r="69" spans="1:13" s="15" customFormat="1" ht="15">
      <c r="A69" s="195"/>
      <c r="B69" s="83" t="s">
        <v>152</v>
      </c>
      <c r="C69" s="91"/>
      <c r="D69" s="196"/>
      <c r="E69" s="484"/>
      <c r="F69" s="484"/>
      <c r="G69" s="197"/>
      <c r="H69" s="197"/>
      <c r="I69" s="197"/>
      <c r="J69" s="197"/>
      <c r="K69" s="197"/>
      <c r="L69" s="197"/>
      <c r="M69" s="73"/>
    </row>
    <row r="70" spans="1:13" s="15" customFormat="1" ht="36" customHeight="1">
      <c r="A70" s="195"/>
      <c r="B70" s="4" t="s">
        <v>279</v>
      </c>
      <c r="C70" s="91" t="s">
        <v>153</v>
      </c>
      <c r="D70" s="483" t="s">
        <v>315</v>
      </c>
      <c r="E70" s="178"/>
      <c r="F70" s="178"/>
      <c r="G70" s="178"/>
      <c r="H70" s="178"/>
      <c r="I70" s="178">
        <v>248</v>
      </c>
      <c r="J70" s="178">
        <f aca="true" t="shared" si="0" ref="J70:J75">I70</f>
        <v>248</v>
      </c>
      <c r="K70" s="178"/>
      <c r="L70" s="178">
        <v>95</v>
      </c>
      <c r="M70" s="415">
        <f>L70</f>
        <v>95</v>
      </c>
    </row>
    <row r="71" spans="1:13" s="15" customFormat="1" ht="36" customHeight="1">
      <c r="A71" s="195"/>
      <c r="B71" s="4" t="s">
        <v>364</v>
      </c>
      <c r="C71" s="91" t="s">
        <v>153</v>
      </c>
      <c r="D71" s="483"/>
      <c r="E71" s="178"/>
      <c r="F71" s="178"/>
      <c r="G71" s="178"/>
      <c r="H71" s="178"/>
      <c r="I71" s="178">
        <v>4</v>
      </c>
      <c r="J71" s="178">
        <f t="shared" si="0"/>
        <v>4</v>
      </c>
      <c r="K71" s="178"/>
      <c r="L71" s="197"/>
      <c r="M71" s="73"/>
    </row>
    <row r="72" spans="1:13" s="15" customFormat="1" ht="36" customHeight="1">
      <c r="A72" s="195"/>
      <c r="B72" s="4" t="s">
        <v>278</v>
      </c>
      <c r="C72" s="91" t="s">
        <v>153</v>
      </c>
      <c r="D72" s="483"/>
      <c r="E72" s="178"/>
      <c r="F72" s="178"/>
      <c r="G72" s="178"/>
      <c r="H72" s="178"/>
      <c r="I72" s="178">
        <v>20</v>
      </c>
      <c r="J72" s="178">
        <f t="shared" si="0"/>
        <v>20</v>
      </c>
      <c r="K72" s="178"/>
      <c r="L72" s="178"/>
      <c r="M72" s="73"/>
    </row>
    <row r="73" spans="1:13" s="15" customFormat="1" ht="26.25" customHeight="1">
      <c r="A73" s="195"/>
      <c r="B73" s="4" t="s">
        <v>365</v>
      </c>
      <c r="C73" s="91" t="s">
        <v>153</v>
      </c>
      <c r="D73" s="483"/>
      <c r="E73" s="178"/>
      <c r="F73" s="178"/>
      <c r="G73" s="178"/>
      <c r="H73" s="178"/>
      <c r="I73" s="178">
        <v>6</v>
      </c>
      <c r="J73" s="178">
        <f t="shared" si="0"/>
        <v>6</v>
      </c>
      <c r="K73" s="178"/>
      <c r="L73" s="178"/>
      <c r="M73" s="73"/>
    </row>
    <row r="74" spans="1:13" s="15" customFormat="1" ht="29.25" customHeight="1">
      <c r="A74" s="195"/>
      <c r="B74" s="4" t="s">
        <v>366</v>
      </c>
      <c r="C74" s="91" t="s">
        <v>153</v>
      </c>
      <c r="D74" s="483"/>
      <c r="E74" s="178"/>
      <c r="F74" s="178"/>
      <c r="G74" s="178"/>
      <c r="H74" s="178"/>
      <c r="I74" s="178">
        <v>7</v>
      </c>
      <c r="J74" s="178">
        <f t="shared" si="0"/>
        <v>7</v>
      </c>
      <c r="K74" s="178"/>
      <c r="L74" s="178"/>
      <c r="M74" s="73"/>
    </row>
    <row r="75" spans="1:13" s="15" customFormat="1" ht="36" customHeight="1">
      <c r="A75" s="195"/>
      <c r="B75" s="4" t="s">
        <v>367</v>
      </c>
      <c r="C75" s="91" t="s">
        <v>153</v>
      </c>
      <c r="D75" s="483"/>
      <c r="E75" s="178"/>
      <c r="F75" s="178"/>
      <c r="G75" s="178"/>
      <c r="H75" s="178"/>
      <c r="I75" s="178">
        <v>5</v>
      </c>
      <c r="J75" s="178">
        <f t="shared" si="0"/>
        <v>5</v>
      </c>
      <c r="K75" s="178"/>
      <c r="L75" s="178"/>
      <c r="M75" s="73"/>
    </row>
    <row r="76" spans="1:13" s="15" customFormat="1" ht="15">
      <c r="A76" s="195"/>
      <c r="B76" s="83" t="s">
        <v>154</v>
      </c>
      <c r="C76" s="91"/>
      <c r="D76" s="196"/>
      <c r="E76" s="484"/>
      <c r="F76" s="484"/>
      <c r="G76" s="197"/>
      <c r="H76" s="197"/>
      <c r="I76" s="197"/>
      <c r="J76" s="197"/>
      <c r="K76" s="197"/>
      <c r="L76" s="197"/>
      <c r="M76" s="73"/>
    </row>
    <row r="77" spans="1:13" s="15" customFormat="1" ht="24" customHeight="1">
      <c r="A77" s="174"/>
      <c r="B77" s="4" t="s">
        <v>273</v>
      </c>
      <c r="C77" s="91" t="s">
        <v>63</v>
      </c>
      <c r="D77" s="196" t="s">
        <v>109</v>
      </c>
      <c r="E77" s="197"/>
      <c r="F77" s="197"/>
      <c r="G77" s="197"/>
      <c r="H77" s="197"/>
      <c r="I77" s="197">
        <f>(976050+66000+287499+72000+925000+606000+91000+512500+729000)/I70</f>
        <v>17197.77822580645</v>
      </c>
      <c r="J77" s="197">
        <f aca="true" t="shared" si="1" ref="J77:J82">I77</f>
        <v>17197.77822580645</v>
      </c>
      <c r="K77" s="197"/>
      <c r="L77" s="197">
        <f>2972500/145</f>
        <v>20500</v>
      </c>
      <c r="M77" s="415">
        <f>L77</f>
        <v>20500</v>
      </c>
    </row>
    <row r="78" spans="1:13" s="15" customFormat="1" ht="35.25" customHeight="1">
      <c r="A78" s="174"/>
      <c r="B78" s="4" t="s">
        <v>368</v>
      </c>
      <c r="C78" s="91" t="s">
        <v>63</v>
      </c>
      <c r="D78" s="196" t="s">
        <v>109</v>
      </c>
      <c r="E78" s="197"/>
      <c r="F78" s="197"/>
      <c r="G78" s="197"/>
      <c r="H78" s="197"/>
      <c r="I78" s="197">
        <f>(70000+37000+17000)/I71</f>
        <v>31000</v>
      </c>
      <c r="J78" s="197">
        <f t="shared" si="1"/>
        <v>31000</v>
      </c>
      <c r="K78" s="197"/>
      <c r="L78" s="197"/>
      <c r="M78" s="73"/>
    </row>
    <row r="79" spans="1:13" s="15" customFormat="1" ht="24" customHeight="1">
      <c r="A79" s="174"/>
      <c r="B79" s="4" t="s">
        <v>280</v>
      </c>
      <c r="C79" s="91" t="s">
        <v>63</v>
      </c>
      <c r="D79" s="196" t="s">
        <v>109</v>
      </c>
      <c r="E79" s="197"/>
      <c r="F79" s="197"/>
      <c r="G79" s="197"/>
      <c r="H79" s="197"/>
      <c r="I79" s="197">
        <f>140205/I72</f>
        <v>7010.25</v>
      </c>
      <c r="J79" s="197">
        <f t="shared" si="1"/>
        <v>7010.25</v>
      </c>
      <c r="K79" s="197"/>
      <c r="L79" s="197"/>
      <c r="M79" s="73"/>
    </row>
    <row r="80" spans="1:13" s="15" customFormat="1" ht="24" customHeight="1">
      <c r="A80" s="174"/>
      <c r="B80" s="4" t="s">
        <v>369</v>
      </c>
      <c r="C80" s="91" t="s">
        <v>63</v>
      </c>
      <c r="D80" s="196" t="s">
        <v>109</v>
      </c>
      <c r="E80" s="197"/>
      <c r="F80" s="197"/>
      <c r="G80" s="197"/>
      <c r="H80" s="197"/>
      <c r="I80" s="197">
        <f>72018/I73</f>
        <v>12003</v>
      </c>
      <c r="J80" s="197">
        <f t="shared" si="1"/>
        <v>12003</v>
      </c>
      <c r="K80" s="197"/>
      <c r="L80" s="197"/>
      <c r="M80" s="73"/>
    </row>
    <row r="81" spans="1:13" s="15" customFormat="1" ht="24" customHeight="1">
      <c r="A81" s="174"/>
      <c r="B81" s="4" t="s">
        <v>370</v>
      </c>
      <c r="C81" s="91" t="s">
        <v>63</v>
      </c>
      <c r="D81" s="196" t="s">
        <v>109</v>
      </c>
      <c r="E81" s="197"/>
      <c r="F81" s="197"/>
      <c r="G81" s="197"/>
      <c r="H81" s="197"/>
      <c r="I81" s="197">
        <f>(26000+15500+34000+11000+10246)/I74</f>
        <v>13820.857142857143</v>
      </c>
      <c r="J81" s="197">
        <f t="shared" si="1"/>
        <v>13820.857142857143</v>
      </c>
      <c r="K81" s="197"/>
      <c r="L81" s="197"/>
      <c r="M81" s="73"/>
    </row>
    <row r="82" spans="1:13" s="15" customFormat="1" ht="41.25" customHeight="1">
      <c r="A82" s="174"/>
      <c r="B82" s="4" t="s">
        <v>371</v>
      </c>
      <c r="C82" s="91" t="s">
        <v>63</v>
      </c>
      <c r="D82" s="196" t="s">
        <v>109</v>
      </c>
      <c r="E82" s="197"/>
      <c r="F82" s="197"/>
      <c r="G82" s="197"/>
      <c r="H82" s="197"/>
      <c r="I82" s="197">
        <f>99000/I75</f>
        <v>19800</v>
      </c>
      <c r="J82" s="197">
        <f t="shared" si="1"/>
        <v>19800</v>
      </c>
      <c r="K82" s="197"/>
      <c r="L82" s="197"/>
      <c r="M82" s="73"/>
    </row>
    <row r="83" spans="1:13" s="15" customFormat="1" ht="27" customHeight="1">
      <c r="A83" s="173"/>
      <c r="B83" s="194" t="s">
        <v>51</v>
      </c>
      <c r="C83" s="475" t="s">
        <v>379</v>
      </c>
      <c r="D83" s="487"/>
      <c r="E83" s="487"/>
      <c r="F83" s="487"/>
      <c r="G83" s="487"/>
      <c r="H83" s="487"/>
      <c r="I83" s="487"/>
      <c r="J83" s="487"/>
      <c r="K83" s="487"/>
      <c r="L83" s="487"/>
      <c r="M83" s="73"/>
    </row>
    <row r="84" spans="1:13" s="15" customFormat="1" ht="15">
      <c r="A84" s="195"/>
      <c r="B84" s="83" t="s">
        <v>150</v>
      </c>
      <c r="C84" s="91"/>
      <c r="D84" s="196"/>
      <c r="E84" s="484"/>
      <c r="F84" s="484"/>
      <c r="G84" s="197"/>
      <c r="H84" s="484"/>
      <c r="I84" s="484"/>
      <c r="J84" s="197"/>
      <c r="K84" s="484"/>
      <c r="L84" s="484"/>
      <c r="M84" s="73"/>
    </row>
    <row r="85" spans="1:13" s="15" customFormat="1" ht="30" customHeight="1">
      <c r="A85" s="195"/>
      <c r="B85" s="4" t="s">
        <v>166</v>
      </c>
      <c r="C85" s="91" t="s">
        <v>63</v>
      </c>
      <c r="D85" s="438" t="s">
        <v>362</v>
      </c>
      <c r="E85" s="197"/>
      <c r="F85" s="197"/>
      <c r="G85" s="197"/>
      <c r="H85" s="197">
        <f>350000</f>
        <v>350000</v>
      </c>
      <c r="I85" s="197">
        <f>1409000</f>
        <v>1409000</v>
      </c>
      <c r="J85" s="197">
        <f>H85+I85</f>
        <v>1759000</v>
      </c>
      <c r="K85" s="197">
        <v>130500</v>
      </c>
      <c r="L85" s="197">
        <v>435000</v>
      </c>
      <c r="M85" s="414">
        <f>K85+L85</f>
        <v>565500</v>
      </c>
    </row>
    <row r="86" spans="1:13" s="15" customFormat="1" ht="27" customHeight="1" hidden="1">
      <c r="A86" s="195"/>
      <c r="B86" s="4"/>
      <c r="C86" s="91"/>
      <c r="D86" s="438"/>
      <c r="E86" s="484"/>
      <c r="F86" s="484"/>
      <c r="G86" s="197"/>
      <c r="H86" s="197"/>
      <c r="I86" s="197"/>
      <c r="J86" s="197"/>
      <c r="K86" s="197"/>
      <c r="L86" s="197"/>
      <c r="M86" s="90"/>
    </row>
    <row r="87" spans="1:13" s="15" customFormat="1" ht="29.25" customHeight="1" hidden="1">
      <c r="A87" s="195"/>
      <c r="B87" s="4"/>
      <c r="C87" s="91"/>
      <c r="D87" s="14"/>
      <c r="E87" s="485"/>
      <c r="F87" s="485"/>
      <c r="G87" s="197"/>
      <c r="H87" s="178"/>
      <c r="I87" s="178"/>
      <c r="J87" s="178"/>
      <c r="K87" s="178"/>
      <c r="L87" s="178"/>
      <c r="M87" s="90"/>
    </row>
    <row r="88" spans="1:13" s="15" customFormat="1" ht="15">
      <c r="A88" s="195"/>
      <c r="B88" s="83" t="s">
        <v>152</v>
      </c>
      <c r="C88" s="91"/>
      <c r="D88" s="196"/>
      <c r="E88" s="484"/>
      <c r="F88" s="484"/>
      <c r="G88" s="197"/>
      <c r="H88" s="197"/>
      <c r="I88" s="197"/>
      <c r="J88" s="197"/>
      <c r="K88" s="197"/>
      <c r="L88" s="197"/>
      <c r="M88" s="90"/>
    </row>
    <row r="89" spans="1:13" s="15" customFormat="1" ht="41.25" customHeight="1">
      <c r="A89" s="195"/>
      <c r="B89" s="4" t="s">
        <v>376</v>
      </c>
      <c r="C89" s="91" t="s">
        <v>153</v>
      </c>
      <c r="D89" s="483" t="s">
        <v>318</v>
      </c>
      <c r="E89" s="178"/>
      <c r="F89" s="178"/>
      <c r="G89" s="197"/>
      <c r="H89" s="178"/>
      <c r="I89" s="178">
        <f>43+70</f>
        <v>113</v>
      </c>
      <c r="J89" s="178">
        <f>I89</f>
        <v>113</v>
      </c>
      <c r="K89" s="178"/>
      <c r="L89" s="178">
        <v>44</v>
      </c>
      <c r="M89" s="414">
        <f>L89</f>
        <v>44</v>
      </c>
    </row>
    <row r="90" spans="1:13" s="15" customFormat="1" ht="48.75" customHeight="1">
      <c r="A90" s="195"/>
      <c r="B90" s="4" t="s">
        <v>375</v>
      </c>
      <c r="C90" s="91" t="s">
        <v>153</v>
      </c>
      <c r="D90" s="483"/>
      <c r="E90" s="178"/>
      <c r="F90" s="178"/>
      <c r="G90" s="178"/>
      <c r="H90" s="178">
        <f>72+20</f>
        <v>92</v>
      </c>
      <c r="I90" s="197"/>
      <c r="J90" s="197">
        <f>H90</f>
        <v>92</v>
      </c>
      <c r="K90" s="178">
        <v>35</v>
      </c>
      <c r="L90" s="197"/>
      <c r="M90" s="414">
        <f>K90</f>
        <v>35</v>
      </c>
    </row>
    <row r="91" spans="1:13" s="15" customFormat="1" ht="15">
      <c r="A91" s="195"/>
      <c r="B91" s="83" t="s">
        <v>154</v>
      </c>
      <c r="C91" s="91"/>
      <c r="D91" s="196"/>
      <c r="E91" s="484"/>
      <c r="F91" s="484"/>
      <c r="G91" s="197"/>
      <c r="H91" s="197"/>
      <c r="I91" s="197"/>
      <c r="J91" s="197"/>
      <c r="K91" s="197"/>
      <c r="L91" s="197"/>
      <c r="M91" s="90"/>
    </row>
    <row r="92" spans="1:13" s="15" customFormat="1" ht="37.5" customHeight="1">
      <c r="A92" s="174"/>
      <c r="B92" s="4" t="s">
        <v>286</v>
      </c>
      <c r="C92" s="91" t="s">
        <v>63</v>
      </c>
      <c r="D92" s="196" t="s">
        <v>109</v>
      </c>
      <c r="E92" s="197"/>
      <c r="F92" s="197"/>
      <c r="G92" s="197"/>
      <c r="H92" s="197">
        <f>H85/H90</f>
        <v>3804.3478260869565</v>
      </c>
      <c r="I92" s="197">
        <f>I85/I89</f>
        <v>12469.026548672566</v>
      </c>
      <c r="J92" s="197">
        <f>H92+I92</f>
        <v>16273.374374759522</v>
      </c>
      <c r="K92" s="197">
        <f>K85/K90</f>
        <v>3728.5714285714284</v>
      </c>
      <c r="L92" s="197">
        <f>L85/L89</f>
        <v>9886.363636363636</v>
      </c>
      <c r="M92" s="414">
        <f>K92+L92</f>
        <v>13614.935064935064</v>
      </c>
    </row>
    <row r="93" spans="1:13" s="15" customFormat="1" ht="27" customHeight="1">
      <c r="A93" s="173"/>
      <c r="B93" s="194" t="s">
        <v>51</v>
      </c>
      <c r="C93" s="475" t="s">
        <v>377</v>
      </c>
      <c r="D93" s="487"/>
      <c r="E93" s="487"/>
      <c r="F93" s="487"/>
      <c r="G93" s="487"/>
      <c r="H93" s="487"/>
      <c r="I93" s="487"/>
      <c r="J93" s="487"/>
      <c r="K93" s="487"/>
      <c r="L93" s="487"/>
      <c r="M93" s="73"/>
    </row>
    <row r="94" spans="1:13" s="15" customFormat="1" ht="15">
      <c r="A94" s="195"/>
      <c r="B94" s="83" t="s">
        <v>150</v>
      </c>
      <c r="C94" s="91"/>
      <c r="D94" s="196"/>
      <c r="E94" s="484"/>
      <c r="F94" s="484"/>
      <c r="G94" s="197"/>
      <c r="H94" s="484"/>
      <c r="I94" s="484"/>
      <c r="J94" s="197"/>
      <c r="K94" s="484"/>
      <c r="L94" s="484"/>
      <c r="M94" s="73"/>
    </row>
    <row r="95" spans="1:13" s="15" customFormat="1" ht="30" customHeight="1">
      <c r="A95" s="195"/>
      <c r="B95" s="4" t="s">
        <v>166</v>
      </c>
      <c r="C95" s="91" t="s">
        <v>63</v>
      </c>
      <c r="D95" s="438" t="s">
        <v>362</v>
      </c>
      <c r="E95" s="197"/>
      <c r="F95" s="197"/>
      <c r="G95" s="197"/>
      <c r="H95" s="197">
        <v>704300</v>
      </c>
      <c r="I95" s="197">
        <v>1047500</v>
      </c>
      <c r="J95" s="197">
        <f>H95+I95</f>
        <v>1751800</v>
      </c>
      <c r="K95" s="197">
        <v>217500</v>
      </c>
      <c r="L95" s="197">
        <f>705000</f>
        <v>705000</v>
      </c>
      <c r="M95" s="202">
        <f>K95+L95</f>
        <v>922500</v>
      </c>
    </row>
    <row r="96" spans="1:13" s="15" customFormat="1" ht="27" customHeight="1" hidden="1">
      <c r="A96" s="195"/>
      <c r="B96" s="4"/>
      <c r="C96" s="91"/>
      <c r="D96" s="438"/>
      <c r="E96" s="484"/>
      <c r="F96" s="484"/>
      <c r="G96" s="197"/>
      <c r="H96" s="197"/>
      <c r="I96" s="197"/>
      <c r="J96" s="197"/>
      <c r="K96" s="197"/>
      <c r="L96" s="197"/>
      <c r="M96" s="418"/>
    </row>
    <row r="97" spans="1:13" s="15" customFormat="1" ht="29.25" customHeight="1" hidden="1">
      <c r="A97" s="195"/>
      <c r="B97" s="4"/>
      <c r="C97" s="91"/>
      <c r="D97" s="14"/>
      <c r="E97" s="485"/>
      <c r="F97" s="485"/>
      <c r="G97" s="197"/>
      <c r="H97" s="178"/>
      <c r="I97" s="178"/>
      <c r="J97" s="178"/>
      <c r="K97" s="178"/>
      <c r="L97" s="178"/>
      <c r="M97" s="418"/>
    </row>
    <row r="98" spans="1:13" s="15" customFormat="1" ht="15">
      <c r="A98" s="195"/>
      <c r="B98" s="83" t="s">
        <v>152</v>
      </c>
      <c r="C98" s="91"/>
      <c r="D98" s="196"/>
      <c r="E98" s="484"/>
      <c r="F98" s="484"/>
      <c r="G98" s="197"/>
      <c r="H98" s="197"/>
      <c r="I98" s="197"/>
      <c r="J98" s="197"/>
      <c r="K98" s="197"/>
      <c r="L98" s="197"/>
      <c r="M98" s="418"/>
    </row>
    <row r="99" spans="1:13" s="15" customFormat="1" ht="99" customHeight="1">
      <c r="A99" s="195"/>
      <c r="B99" s="4" t="s">
        <v>275</v>
      </c>
      <c r="C99" s="91" t="s">
        <v>153</v>
      </c>
      <c r="D99" s="14" t="s">
        <v>315</v>
      </c>
      <c r="E99" s="178"/>
      <c r="F99" s="178"/>
      <c r="G99" s="197"/>
      <c r="H99" s="178">
        <f>1880</f>
        <v>1880</v>
      </c>
      <c r="I99" s="178">
        <v>57</v>
      </c>
      <c r="J99" s="178">
        <f>H99+I99</f>
        <v>1937</v>
      </c>
      <c r="K99" s="178">
        <v>725</v>
      </c>
      <c r="L99" s="178">
        <v>24</v>
      </c>
      <c r="M99" s="202">
        <f>K99+L99</f>
        <v>749</v>
      </c>
    </row>
    <row r="100" spans="1:13" s="15" customFormat="1" ht="25.5" customHeight="1" hidden="1">
      <c r="A100" s="195"/>
      <c r="B100" s="4" t="s">
        <v>168</v>
      </c>
      <c r="C100" s="91" t="s">
        <v>153</v>
      </c>
      <c r="D100" s="196"/>
      <c r="E100" s="200"/>
      <c r="F100" s="197"/>
      <c r="G100" s="197"/>
      <c r="H100" s="200"/>
      <c r="I100" s="197"/>
      <c r="J100" s="197"/>
      <c r="K100" s="200"/>
      <c r="L100" s="197"/>
      <c r="M100" s="418"/>
    </row>
    <row r="101" spans="1:13" s="15" customFormat="1" ht="15">
      <c r="A101" s="195"/>
      <c r="B101" s="83" t="s">
        <v>154</v>
      </c>
      <c r="C101" s="91"/>
      <c r="D101" s="196"/>
      <c r="E101" s="484"/>
      <c r="F101" s="484"/>
      <c r="G101" s="197"/>
      <c r="H101" s="197"/>
      <c r="I101" s="198"/>
      <c r="J101" s="198"/>
      <c r="K101" s="197"/>
      <c r="L101" s="197"/>
      <c r="M101" s="418"/>
    </row>
    <row r="102" spans="1:13" s="15" customFormat="1" ht="38.25" customHeight="1">
      <c r="A102" s="174"/>
      <c r="B102" s="4" t="s">
        <v>378</v>
      </c>
      <c r="C102" s="91" t="s">
        <v>63</v>
      </c>
      <c r="D102" s="196" t="s">
        <v>109</v>
      </c>
      <c r="E102" s="197"/>
      <c r="F102" s="197"/>
      <c r="G102" s="197"/>
      <c r="H102" s="197">
        <f>H95/H99</f>
        <v>374.6276595744681</v>
      </c>
      <c r="I102" s="197">
        <f>I95/I99</f>
        <v>18377.19298245614</v>
      </c>
      <c r="J102" s="197">
        <f>H102+I102</f>
        <v>18751.82064203061</v>
      </c>
      <c r="K102" s="197">
        <f>K95/K99</f>
        <v>300</v>
      </c>
      <c r="L102" s="197">
        <f>L95/L99</f>
        <v>29375</v>
      </c>
      <c r="M102" s="202">
        <f>K102+L102</f>
        <v>29675</v>
      </c>
    </row>
    <row r="103" spans="1:13" s="37" customFormat="1" ht="27" customHeight="1">
      <c r="A103" s="281"/>
      <c r="B103" s="282" t="s">
        <v>51</v>
      </c>
      <c r="C103" s="493" t="s">
        <v>206</v>
      </c>
      <c r="D103" s="501"/>
      <c r="E103" s="501"/>
      <c r="F103" s="501"/>
      <c r="G103" s="501"/>
      <c r="H103" s="501"/>
      <c r="I103" s="501"/>
      <c r="J103" s="501"/>
      <c r="K103" s="501"/>
      <c r="L103" s="501"/>
      <c r="M103" s="109"/>
    </row>
    <row r="104" spans="1:13" s="37" customFormat="1" ht="15">
      <c r="A104" s="283"/>
      <c r="B104" s="284" t="s">
        <v>150</v>
      </c>
      <c r="C104" s="206"/>
      <c r="D104" s="285"/>
      <c r="E104" s="485"/>
      <c r="F104" s="485"/>
      <c r="G104" s="178"/>
      <c r="H104" s="485"/>
      <c r="I104" s="485"/>
      <c r="J104" s="178"/>
      <c r="K104" s="485"/>
      <c r="L104" s="485"/>
      <c r="M104" s="109"/>
    </row>
    <row r="105" spans="1:13" s="37" customFormat="1" ht="30" customHeight="1">
      <c r="A105" s="283"/>
      <c r="B105" s="286" t="s">
        <v>384</v>
      </c>
      <c r="C105" s="206" t="s">
        <v>63</v>
      </c>
      <c r="D105" s="497" t="s">
        <v>363</v>
      </c>
      <c r="E105" s="178">
        <f>1060634</f>
        <v>1060634</v>
      </c>
      <c r="F105" s="178"/>
      <c r="G105" s="178">
        <f>E105</f>
        <v>1060634</v>
      </c>
      <c r="H105" s="178">
        <f>833000</f>
        <v>833000</v>
      </c>
      <c r="I105" s="179"/>
      <c r="J105" s="179">
        <f>H105</f>
        <v>833000</v>
      </c>
      <c r="K105" s="178">
        <v>300000</v>
      </c>
      <c r="L105" s="179"/>
      <c r="M105" s="178">
        <f>K105</f>
        <v>300000</v>
      </c>
    </row>
    <row r="106" spans="1:13" s="37" customFormat="1" ht="27" customHeight="1">
      <c r="A106" s="283"/>
      <c r="B106" s="286" t="s">
        <v>385</v>
      </c>
      <c r="C106" s="206" t="s">
        <v>63</v>
      </c>
      <c r="D106" s="497"/>
      <c r="E106" s="178">
        <f>E105-E107</f>
        <v>281862.56000000006</v>
      </c>
      <c r="F106" s="179"/>
      <c r="G106" s="178">
        <f>E106</f>
        <v>281862.56000000006</v>
      </c>
      <c r="H106" s="178"/>
      <c r="I106" s="179"/>
      <c r="J106" s="179"/>
      <c r="K106" s="178"/>
      <c r="L106" s="179"/>
      <c r="M106" s="206"/>
    </row>
    <row r="107" spans="1:13" s="37" customFormat="1" ht="29.25" customHeight="1">
      <c r="A107" s="283"/>
      <c r="B107" s="286" t="s">
        <v>386</v>
      </c>
      <c r="C107" s="206" t="s">
        <v>63</v>
      </c>
      <c r="D107" s="497"/>
      <c r="E107" s="178">
        <v>778771.44</v>
      </c>
      <c r="F107" s="179"/>
      <c r="G107" s="178">
        <f>E107</f>
        <v>778771.44</v>
      </c>
      <c r="H107" s="178"/>
      <c r="I107" s="179"/>
      <c r="J107" s="179"/>
      <c r="K107" s="178"/>
      <c r="L107" s="179"/>
      <c r="M107" s="206"/>
    </row>
    <row r="108" spans="1:13" s="37" customFormat="1" ht="15">
      <c r="A108" s="283"/>
      <c r="B108" s="284" t="s">
        <v>152</v>
      </c>
      <c r="C108" s="206"/>
      <c r="D108" s="285"/>
      <c r="E108" s="485"/>
      <c r="F108" s="485"/>
      <c r="G108" s="178"/>
      <c r="H108" s="178"/>
      <c r="I108" s="179"/>
      <c r="J108" s="179"/>
      <c r="K108" s="178"/>
      <c r="L108" s="179"/>
      <c r="M108" s="206"/>
    </row>
    <row r="109" spans="1:13" s="37" customFormat="1" ht="99" customHeight="1">
      <c r="A109" s="283"/>
      <c r="B109" s="286" t="s">
        <v>208</v>
      </c>
      <c r="C109" s="206" t="s">
        <v>153</v>
      </c>
      <c r="D109" s="287" t="s">
        <v>180</v>
      </c>
      <c r="E109" s="178">
        <v>124</v>
      </c>
      <c r="F109" s="178"/>
      <c r="G109" s="178">
        <f>E109</f>
        <v>124</v>
      </c>
      <c r="H109" s="178">
        <v>210</v>
      </c>
      <c r="I109" s="179"/>
      <c r="J109" s="179">
        <f>H109</f>
        <v>210</v>
      </c>
      <c r="K109" s="178">
        <v>75</v>
      </c>
      <c r="L109" s="179"/>
      <c r="M109" s="178">
        <f>K109</f>
        <v>75</v>
      </c>
    </row>
    <row r="110" spans="1:13" s="37" customFormat="1" ht="25.5" customHeight="1" hidden="1">
      <c r="A110" s="283"/>
      <c r="B110" s="286" t="s">
        <v>168</v>
      </c>
      <c r="C110" s="206" t="s">
        <v>153</v>
      </c>
      <c r="D110" s="285"/>
      <c r="E110" s="178"/>
      <c r="F110" s="178"/>
      <c r="G110" s="178"/>
      <c r="H110" s="178"/>
      <c r="I110" s="178"/>
      <c r="J110" s="178"/>
      <c r="K110" s="178"/>
      <c r="L110" s="178"/>
      <c r="M110" s="206"/>
    </row>
    <row r="111" spans="1:13" s="37" customFormat="1" ht="15">
      <c r="A111" s="283"/>
      <c r="B111" s="284" t="s">
        <v>154</v>
      </c>
      <c r="C111" s="206"/>
      <c r="D111" s="285"/>
      <c r="E111" s="485"/>
      <c r="F111" s="485"/>
      <c r="G111" s="178"/>
      <c r="H111" s="178"/>
      <c r="I111" s="179"/>
      <c r="J111" s="179"/>
      <c r="K111" s="178"/>
      <c r="L111" s="179"/>
      <c r="M111" s="206"/>
    </row>
    <row r="112" spans="1:13" s="37" customFormat="1" ht="33" customHeight="1">
      <c r="A112" s="288"/>
      <c r="B112" s="286" t="s">
        <v>209</v>
      </c>
      <c r="C112" s="206" t="s">
        <v>63</v>
      </c>
      <c r="D112" s="285" t="s">
        <v>109</v>
      </c>
      <c r="E112" s="178">
        <f>E106/E109</f>
        <v>2273.085161290323</v>
      </c>
      <c r="F112" s="178"/>
      <c r="G112" s="178">
        <f>E112</f>
        <v>2273.085161290323</v>
      </c>
      <c r="H112" s="178">
        <f>H105/H109</f>
        <v>3966.6666666666665</v>
      </c>
      <c r="I112" s="179"/>
      <c r="J112" s="179">
        <f>H112</f>
        <v>3966.6666666666665</v>
      </c>
      <c r="K112" s="178">
        <f>K105/K109</f>
        <v>4000</v>
      </c>
      <c r="L112" s="179"/>
      <c r="M112" s="178">
        <f>K112</f>
        <v>4000</v>
      </c>
    </row>
    <row r="113" spans="1:13" s="37" customFormat="1" ht="27" customHeight="1">
      <c r="A113" s="281"/>
      <c r="B113" s="282" t="s">
        <v>51</v>
      </c>
      <c r="C113" s="493" t="s">
        <v>276</v>
      </c>
      <c r="D113" s="501"/>
      <c r="E113" s="501"/>
      <c r="F113" s="501"/>
      <c r="G113" s="501"/>
      <c r="H113" s="501"/>
      <c r="I113" s="501"/>
      <c r="J113" s="501"/>
      <c r="K113" s="501"/>
      <c r="L113" s="501"/>
      <c r="M113" s="109"/>
    </row>
    <row r="114" spans="1:13" s="37" customFormat="1" ht="15">
      <c r="A114" s="283"/>
      <c r="B114" s="284" t="s">
        <v>150</v>
      </c>
      <c r="C114" s="206"/>
      <c r="D114" s="285"/>
      <c r="E114" s="485"/>
      <c r="F114" s="485"/>
      <c r="G114" s="178"/>
      <c r="H114" s="485"/>
      <c r="I114" s="485"/>
      <c r="J114" s="178"/>
      <c r="K114" s="485"/>
      <c r="L114" s="485"/>
      <c r="M114" s="109"/>
    </row>
    <row r="115" spans="1:13" s="37" customFormat="1" ht="30" customHeight="1">
      <c r="A115" s="283"/>
      <c r="B115" s="286" t="s">
        <v>166</v>
      </c>
      <c r="C115" s="206" t="s">
        <v>63</v>
      </c>
      <c r="D115" s="497" t="s">
        <v>207</v>
      </c>
      <c r="E115" s="178"/>
      <c r="F115" s="178"/>
      <c r="G115" s="178"/>
      <c r="H115" s="178"/>
      <c r="I115" s="178">
        <v>377500</v>
      </c>
      <c r="J115" s="178">
        <f>I115</f>
        <v>377500</v>
      </c>
      <c r="K115" s="178"/>
      <c r="L115" s="178">
        <v>230000</v>
      </c>
      <c r="M115" s="384">
        <f>L115</f>
        <v>230000</v>
      </c>
    </row>
    <row r="116" spans="1:13" s="37" customFormat="1" ht="27" customHeight="1" hidden="1">
      <c r="A116" s="283"/>
      <c r="B116" s="286"/>
      <c r="C116" s="206"/>
      <c r="D116" s="497"/>
      <c r="E116" s="485"/>
      <c r="F116" s="485"/>
      <c r="G116" s="178"/>
      <c r="H116" s="178"/>
      <c r="I116" s="179"/>
      <c r="J116" s="179"/>
      <c r="K116" s="178"/>
      <c r="L116" s="178"/>
      <c r="M116" s="422"/>
    </row>
    <row r="117" spans="1:13" s="37" customFormat="1" ht="29.25" customHeight="1" hidden="1">
      <c r="A117" s="283"/>
      <c r="B117" s="286"/>
      <c r="C117" s="206"/>
      <c r="D117" s="287"/>
      <c r="E117" s="485"/>
      <c r="F117" s="485"/>
      <c r="G117" s="178"/>
      <c r="H117" s="178"/>
      <c r="I117" s="179"/>
      <c r="J117" s="179"/>
      <c r="K117" s="178"/>
      <c r="L117" s="178"/>
      <c r="M117" s="422"/>
    </row>
    <row r="118" spans="1:13" s="37" customFormat="1" ht="15">
      <c r="A118" s="283"/>
      <c r="B118" s="284" t="s">
        <v>152</v>
      </c>
      <c r="C118" s="206"/>
      <c r="D118" s="285"/>
      <c r="E118" s="485"/>
      <c r="F118" s="485"/>
      <c r="G118" s="178"/>
      <c r="H118" s="178"/>
      <c r="I118" s="179"/>
      <c r="J118" s="179"/>
      <c r="K118" s="178"/>
      <c r="L118" s="178"/>
      <c r="M118" s="422"/>
    </row>
    <row r="119" spans="1:13" s="37" customFormat="1" ht="90" customHeight="1">
      <c r="A119" s="283"/>
      <c r="B119" s="286" t="s">
        <v>270</v>
      </c>
      <c r="C119" s="206" t="s">
        <v>153</v>
      </c>
      <c r="D119" s="287" t="s">
        <v>318</v>
      </c>
      <c r="E119" s="178"/>
      <c r="F119" s="178"/>
      <c r="G119" s="178"/>
      <c r="H119" s="178"/>
      <c r="I119" s="178">
        <v>28</v>
      </c>
      <c r="J119" s="178">
        <f>I119</f>
        <v>28</v>
      </c>
      <c r="K119" s="178"/>
      <c r="L119" s="178">
        <v>10</v>
      </c>
      <c r="M119" s="384">
        <f>L119</f>
        <v>10</v>
      </c>
    </row>
    <row r="120" spans="1:13" s="37" customFormat="1" ht="25.5" customHeight="1" hidden="1">
      <c r="A120" s="283"/>
      <c r="B120" s="286" t="s">
        <v>168</v>
      </c>
      <c r="C120" s="206" t="s">
        <v>153</v>
      </c>
      <c r="D120" s="285"/>
      <c r="E120" s="178"/>
      <c r="F120" s="178"/>
      <c r="G120" s="178"/>
      <c r="H120" s="178"/>
      <c r="I120" s="178"/>
      <c r="J120" s="178"/>
      <c r="K120" s="178"/>
      <c r="L120" s="178"/>
      <c r="M120" s="422"/>
    </row>
    <row r="121" spans="1:13" s="37" customFormat="1" ht="15">
      <c r="A121" s="283"/>
      <c r="B121" s="284" t="s">
        <v>154</v>
      </c>
      <c r="C121" s="206"/>
      <c r="D121" s="285"/>
      <c r="E121" s="485"/>
      <c r="F121" s="485"/>
      <c r="G121" s="178"/>
      <c r="H121" s="178"/>
      <c r="I121" s="179"/>
      <c r="J121" s="179"/>
      <c r="K121" s="178"/>
      <c r="L121" s="178"/>
      <c r="M121" s="422"/>
    </row>
    <row r="122" spans="1:13" s="37" customFormat="1" ht="24" customHeight="1">
      <c r="A122" s="288"/>
      <c r="B122" s="286" t="s">
        <v>272</v>
      </c>
      <c r="C122" s="206" t="s">
        <v>63</v>
      </c>
      <c r="D122" s="285" t="s">
        <v>109</v>
      </c>
      <c r="E122" s="178"/>
      <c r="F122" s="178"/>
      <c r="G122" s="178"/>
      <c r="H122" s="178"/>
      <c r="I122" s="178">
        <f>I115/I119</f>
        <v>13482.142857142857</v>
      </c>
      <c r="J122" s="178">
        <f>I122</f>
        <v>13482.142857142857</v>
      </c>
      <c r="K122" s="178"/>
      <c r="L122" s="178">
        <f>L115/L119</f>
        <v>23000</v>
      </c>
      <c r="M122" s="384">
        <f>L122</f>
        <v>23000</v>
      </c>
    </row>
    <row r="123" spans="1:13" s="37" customFormat="1" ht="27" customHeight="1">
      <c r="A123" s="281"/>
      <c r="B123" s="282" t="s">
        <v>51</v>
      </c>
      <c r="C123" s="493" t="s">
        <v>285</v>
      </c>
      <c r="D123" s="501"/>
      <c r="E123" s="501"/>
      <c r="F123" s="501"/>
      <c r="G123" s="501"/>
      <c r="H123" s="501"/>
      <c r="I123" s="501"/>
      <c r="J123" s="501"/>
      <c r="K123" s="501"/>
      <c r="L123" s="501"/>
      <c r="M123" s="109"/>
    </row>
    <row r="124" spans="1:13" s="15" customFormat="1" ht="27" customHeight="1">
      <c r="A124" s="173"/>
      <c r="B124" s="194" t="s">
        <v>51</v>
      </c>
      <c r="C124" s="475" t="s">
        <v>287</v>
      </c>
      <c r="D124" s="487"/>
      <c r="E124" s="487"/>
      <c r="F124" s="487"/>
      <c r="G124" s="487"/>
      <c r="H124" s="487"/>
      <c r="I124" s="487"/>
      <c r="J124" s="487"/>
      <c r="K124" s="487"/>
      <c r="L124" s="487"/>
      <c r="M124" s="73"/>
    </row>
    <row r="125" spans="1:13" s="15" customFormat="1" ht="15">
      <c r="A125" s="195"/>
      <c r="B125" s="83" t="s">
        <v>150</v>
      </c>
      <c r="C125" s="91"/>
      <c r="D125" s="196"/>
      <c r="E125" s="484"/>
      <c r="F125" s="484"/>
      <c r="G125" s="197"/>
      <c r="H125" s="484"/>
      <c r="I125" s="484"/>
      <c r="J125" s="197"/>
      <c r="K125" s="484"/>
      <c r="L125" s="484"/>
      <c r="M125" s="73"/>
    </row>
    <row r="126" spans="1:13" s="15" customFormat="1" ht="30" customHeight="1">
      <c r="A126" s="195"/>
      <c r="B126" s="4" t="s">
        <v>166</v>
      </c>
      <c r="C126" s="91" t="s">
        <v>63</v>
      </c>
      <c r="D126" s="438" t="s">
        <v>362</v>
      </c>
      <c r="E126" s="197"/>
      <c r="F126" s="197"/>
      <c r="G126" s="197"/>
      <c r="H126" s="197">
        <v>270000</v>
      </c>
      <c r="I126" s="198"/>
      <c r="J126" s="197">
        <f>H126</f>
        <v>270000</v>
      </c>
      <c r="K126" s="197">
        <v>420000</v>
      </c>
      <c r="L126" s="197">
        <v>210000</v>
      </c>
      <c r="M126" s="416">
        <f>K126+L126</f>
        <v>630000</v>
      </c>
    </row>
    <row r="127" spans="1:13" s="15" customFormat="1" ht="27" customHeight="1" hidden="1">
      <c r="A127" s="195"/>
      <c r="B127" s="4"/>
      <c r="C127" s="91"/>
      <c r="D127" s="438"/>
      <c r="E127" s="484"/>
      <c r="F127" s="484"/>
      <c r="G127" s="197"/>
      <c r="H127" s="197"/>
      <c r="I127" s="198"/>
      <c r="J127" s="197"/>
      <c r="K127" s="197"/>
      <c r="L127" s="197"/>
      <c r="M127" s="101"/>
    </row>
    <row r="128" spans="1:13" s="15" customFormat="1" ht="29.25" customHeight="1" hidden="1">
      <c r="A128" s="195"/>
      <c r="B128" s="4"/>
      <c r="C128" s="91"/>
      <c r="D128" s="14"/>
      <c r="E128" s="485"/>
      <c r="F128" s="485"/>
      <c r="G128" s="197"/>
      <c r="H128" s="178"/>
      <c r="I128" s="179"/>
      <c r="J128" s="178"/>
      <c r="K128" s="178"/>
      <c r="L128" s="178"/>
      <c r="M128" s="101"/>
    </row>
    <row r="129" spans="1:13" s="15" customFormat="1" ht="15">
      <c r="A129" s="195"/>
      <c r="B129" s="83" t="s">
        <v>152</v>
      </c>
      <c r="C129" s="91"/>
      <c r="D129" s="196"/>
      <c r="E129" s="484"/>
      <c r="F129" s="484"/>
      <c r="G129" s="197"/>
      <c r="H129" s="197"/>
      <c r="I129" s="198"/>
      <c r="J129" s="197"/>
      <c r="K129" s="197"/>
      <c r="L129" s="197"/>
      <c r="M129" s="101"/>
    </row>
    <row r="130" spans="1:13" s="15" customFormat="1" ht="90" customHeight="1">
      <c r="A130" s="195"/>
      <c r="B130" s="4" t="s">
        <v>380</v>
      </c>
      <c r="C130" s="91" t="s">
        <v>153</v>
      </c>
      <c r="D130" s="14" t="s">
        <v>318</v>
      </c>
      <c r="E130" s="178"/>
      <c r="F130" s="178"/>
      <c r="G130" s="197"/>
      <c r="H130" s="178">
        <v>2</v>
      </c>
      <c r="I130" s="179"/>
      <c r="J130" s="178">
        <f>H130</f>
        <v>2</v>
      </c>
      <c r="K130" s="178">
        <v>3</v>
      </c>
      <c r="L130" s="178">
        <v>1</v>
      </c>
      <c r="M130" s="414">
        <f>K130+L130</f>
        <v>4</v>
      </c>
    </row>
    <row r="131" spans="1:13" s="15" customFormat="1" ht="25.5" customHeight="1" hidden="1">
      <c r="A131" s="195"/>
      <c r="B131" s="4" t="s">
        <v>168</v>
      </c>
      <c r="C131" s="91" t="s">
        <v>153</v>
      </c>
      <c r="D131" s="196"/>
      <c r="E131" s="200"/>
      <c r="F131" s="197"/>
      <c r="G131" s="197"/>
      <c r="H131" s="200"/>
      <c r="I131" s="197"/>
      <c r="J131" s="197"/>
      <c r="K131" s="200"/>
      <c r="L131" s="197"/>
      <c r="M131" s="101"/>
    </row>
    <row r="132" spans="1:13" s="15" customFormat="1" ht="15">
      <c r="A132" s="195"/>
      <c r="B132" s="83" t="s">
        <v>154</v>
      </c>
      <c r="C132" s="91"/>
      <c r="D132" s="196"/>
      <c r="E132" s="484"/>
      <c r="F132" s="484"/>
      <c r="G132" s="197"/>
      <c r="H132" s="197"/>
      <c r="I132" s="198"/>
      <c r="J132" s="197"/>
      <c r="K132" s="197"/>
      <c r="L132" s="197"/>
      <c r="M132" s="101"/>
    </row>
    <row r="133" spans="1:13" s="15" customFormat="1" ht="24" customHeight="1">
      <c r="A133" s="174"/>
      <c r="B133" s="4" t="s">
        <v>381</v>
      </c>
      <c r="C133" s="91" t="s">
        <v>63</v>
      </c>
      <c r="D133" s="196" t="s">
        <v>109</v>
      </c>
      <c r="E133" s="197"/>
      <c r="F133" s="197"/>
      <c r="G133" s="197"/>
      <c r="H133" s="197">
        <f>H126/H130</f>
        <v>135000</v>
      </c>
      <c r="I133" s="198"/>
      <c r="J133" s="197">
        <f>H133</f>
        <v>135000</v>
      </c>
      <c r="K133" s="197">
        <f>K126/K130</f>
        <v>140000</v>
      </c>
      <c r="L133" s="197">
        <f>L126/L130</f>
        <v>210000</v>
      </c>
      <c r="M133" s="101">
        <f>M126/M130</f>
        <v>157500</v>
      </c>
    </row>
    <row r="134" spans="1:13" s="15" customFormat="1" ht="27" customHeight="1">
      <c r="A134" s="173"/>
      <c r="B134" s="194"/>
      <c r="C134" s="475" t="s">
        <v>389</v>
      </c>
      <c r="D134" s="487"/>
      <c r="E134" s="487"/>
      <c r="F134" s="487"/>
      <c r="G134" s="487"/>
      <c r="H134" s="487"/>
      <c r="I134" s="487"/>
      <c r="J134" s="487"/>
      <c r="K134" s="487"/>
      <c r="L134" s="487"/>
      <c r="M134" s="73"/>
    </row>
    <row r="135" spans="1:13" s="15" customFormat="1" ht="27" customHeight="1">
      <c r="A135" s="173"/>
      <c r="B135" s="194" t="s">
        <v>51</v>
      </c>
      <c r="C135" s="475" t="s">
        <v>211</v>
      </c>
      <c r="D135" s="487"/>
      <c r="E135" s="487"/>
      <c r="F135" s="487"/>
      <c r="G135" s="487"/>
      <c r="H135" s="487"/>
      <c r="I135" s="487"/>
      <c r="J135" s="487"/>
      <c r="K135" s="487"/>
      <c r="L135" s="487"/>
      <c r="M135" s="73"/>
    </row>
    <row r="136" spans="1:13" s="15" customFormat="1" ht="15">
      <c r="A136" s="195"/>
      <c r="B136" s="83" t="s">
        <v>150</v>
      </c>
      <c r="C136" s="91"/>
      <c r="D136" s="196"/>
      <c r="E136" s="484"/>
      <c r="F136" s="484"/>
      <c r="G136" s="197"/>
      <c r="H136" s="484"/>
      <c r="I136" s="484"/>
      <c r="J136" s="197"/>
      <c r="K136" s="484"/>
      <c r="L136" s="484"/>
      <c r="M136" s="73"/>
    </row>
    <row r="137" spans="1:13" s="15" customFormat="1" ht="30" customHeight="1">
      <c r="A137" s="195"/>
      <c r="B137" s="4" t="s">
        <v>166</v>
      </c>
      <c r="C137" s="91" t="s">
        <v>63</v>
      </c>
      <c r="D137" s="438" t="s">
        <v>387</v>
      </c>
      <c r="E137" s="197">
        <v>14038.26</v>
      </c>
      <c r="F137" s="197"/>
      <c r="G137" s="197">
        <f>E137</f>
        <v>14038.26</v>
      </c>
      <c r="H137" s="197">
        <v>60000</v>
      </c>
      <c r="I137" s="198"/>
      <c r="J137" s="197">
        <f>H137</f>
        <v>60000</v>
      </c>
      <c r="K137" s="197">
        <v>72000</v>
      </c>
      <c r="L137" s="198"/>
      <c r="M137" s="197">
        <f>K137</f>
        <v>72000</v>
      </c>
    </row>
    <row r="138" spans="1:13" s="15" customFormat="1" ht="27" customHeight="1" hidden="1">
      <c r="A138" s="195"/>
      <c r="B138" s="4"/>
      <c r="C138" s="91"/>
      <c r="D138" s="438"/>
      <c r="E138" s="484"/>
      <c r="F138" s="484"/>
      <c r="G138" s="197"/>
      <c r="H138" s="197"/>
      <c r="I138" s="198"/>
      <c r="J138" s="197"/>
      <c r="K138" s="197"/>
      <c r="L138" s="198"/>
      <c r="M138" s="91"/>
    </row>
    <row r="139" spans="1:13" s="15" customFormat="1" ht="29.25" customHeight="1" hidden="1">
      <c r="A139" s="195"/>
      <c r="B139" s="4"/>
      <c r="C139" s="91"/>
      <c r="D139" s="14"/>
      <c r="E139" s="485"/>
      <c r="F139" s="485"/>
      <c r="G139" s="197"/>
      <c r="H139" s="178"/>
      <c r="I139" s="179"/>
      <c r="J139" s="178"/>
      <c r="K139" s="178"/>
      <c r="L139" s="179"/>
      <c r="M139" s="91"/>
    </row>
    <row r="140" spans="1:13" s="15" customFormat="1" ht="15">
      <c r="A140" s="195"/>
      <c r="B140" s="83" t="s">
        <v>152</v>
      </c>
      <c r="C140" s="91"/>
      <c r="D140" s="196"/>
      <c r="E140" s="484"/>
      <c r="F140" s="484"/>
      <c r="G140" s="197"/>
      <c r="H140" s="197"/>
      <c r="I140" s="198"/>
      <c r="J140" s="197"/>
      <c r="K140" s="197"/>
      <c r="L140" s="198"/>
      <c r="M140" s="91"/>
    </row>
    <row r="141" spans="1:13" s="15" customFormat="1" ht="64.5" customHeight="1">
      <c r="A141" s="195"/>
      <c r="B141" s="4" t="s">
        <v>383</v>
      </c>
      <c r="C141" s="91" t="s">
        <v>153</v>
      </c>
      <c r="D141" s="483" t="s">
        <v>180</v>
      </c>
      <c r="E141" s="178">
        <v>3</v>
      </c>
      <c r="F141" s="178"/>
      <c r="G141" s="197">
        <f>E141</f>
        <v>3</v>
      </c>
      <c r="H141" s="178">
        <v>10</v>
      </c>
      <c r="I141" s="179"/>
      <c r="J141" s="178">
        <f>H141</f>
        <v>10</v>
      </c>
      <c r="K141" s="178">
        <v>12</v>
      </c>
      <c r="L141" s="179"/>
      <c r="M141" s="197">
        <f>K141</f>
        <v>12</v>
      </c>
    </row>
    <row r="142" spans="1:13" s="15" customFormat="1" ht="25.5" customHeight="1">
      <c r="A142" s="195"/>
      <c r="B142" s="4" t="s">
        <v>382</v>
      </c>
      <c r="C142" s="91" t="s">
        <v>153</v>
      </c>
      <c r="D142" s="483"/>
      <c r="E142" s="178">
        <v>9</v>
      </c>
      <c r="F142" s="178"/>
      <c r="G142" s="197">
        <f>E142</f>
        <v>9</v>
      </c>
      <c r="H142" s="178">
        <v>12</v>
      </c>
      <c r="I142" s="178"/>
      <c r="J142" s="178">
        <f>H142</f>
        <v>12</v>
      </c>
      <c r="K142" s="178">
        <v>12</v>
      </c>
      <c r="L142" s="197"/>
      <c r="M142" s="197">
        <f>K142</f>
        <v>12</v>
      </c>
    </row>
    <row r="143" spans="1:13" s="15" customFormat="1" ht="15">
      <c r="A143" s="195"/>
      <c r="B143" s="83" t="s">
        <v>154</v>
      </c>
      <c r="C143" s="91"/>
      <c r="D143" s="196"/>
      <c r="E143" s="484"/>
      <c r="F143" s="484"/>
      <c r="G143" s="197"/>
      <c r="H143" s="197"/>
      <c r="I143" s="198"/>
      <c r="J143" s="197"/>
      <c r="K143" s="197"/>
      <c r="L143" s="198"/>
      <c r="M143" s="91"/>
    </row>
    <row r="144" spans="1:13" s="15" customFormat="1" ht="24" customHeight="1">
      <c r="A144" s="174"/>
      <c r="B144" s="4" t="s">
        <v>395</v>
      </c>
      <c r="C144" s="91" t="s">
        <v>63</v>
      </c>
      <c r="D144" s="196" t="s">
        <v>109</v>
      </c>
      <c r="E144" s="197">
        <f>E137/E142/E141</f>
        <v>519.9355555555555</v>
      </c>
      <c r="F144" s="197"/>
      <c r="G144" s="197">
        <f>E144</f>
        <v>519.9355555555555</v>
      </c>
      <c r="H144" s="197">
        <f>H137/H141/H142</f>
        <v>500</v>
      </c>
      <c r="I144" s="198"/>
      <c r="J144" s="197">
        <f>H144</f>
        <v>500</v>
      </c>
      <c r="K144" s="197">
        <f>K137/K141/K142</f>
        <v>500</v>
      </c>
      <c r="L144" s="198"/>
      <c r="M144" s="197">
        <f>K144</f>
        <v>500</v>
      </c>
    </row>
    <row r="145" spans="1:13" s="15" customFormat="1" ht="27" customHeight="1">
      <c r="A145" s="173"/>
      <c r="B145" s="194" t="s">
        <v>51</v>
      </c>
      <c r="C145" s="475" t="s">
        <v>390</v>
      </c>
      <c r="D145" s="487"/>
      <c r="E145" s="487"/>
      <c r="F145" s="487"/>
      <c r="G145" s="487"/>
      <c r="H145" s="487"/>
      <c r="I145" s="487"/>
      <c r="J145" s="487"/>
      <c r="K145" s="487"/>
      <c r="L145" s="487"/>
      <c r="M145" s="73"/>
    </row>
    <row r="146" spans="1:13" s="15" customFormat="1" ht="15">
      <c r="A146" s="195"/>
      <c r="B146" s="83" t="s">
        <v>150</v>
      </c>
      <c r="C146" s="91"/>
      <c r="D146" s="196"/>
      <c r="E146" s="484"/>
      <c r="F146" s="484"/>
      <c r="G146" s="197"/>
      <c r="H146" s="484"/>
      <c r="I146" s="484"/>
      <c r="J146" s="197"/>
      <c r="K146" s="484"/>
      <c r="L146" s="484"/>
      <c r="M146" s="73"/>
    </row>
    <row r="147" spans="1:13" s="15" customFormat="1" ht="30" customHeight="1">
      <c r="A147" s="195"/>
      <c r="B147" s="2" t="s">
        <v>166</v>
      </c>
      <c r="C147" s="91" t="s">
        <v>63</v>
      </c>
      <c r="D147" s="438" t="s">
        <v>449</v>
      </c>
      <c r="E147" s="197"/>
      <c r="F147" s="197"/>
      <c r="G147" s="197"/>
      <c r="H147" s="197"/>
      <c r="I147" s="197"/>
      <c r="J147" s="197"/>
      <c r="K147" s="197">
        <v>344000</v>
      </c>
      <c r="L147" s="197"/>
      <c r="M147" s="414">
        <f>K147</f>
        <v>344000</v>
      </c>
    </row>
    <row r="148" spans="1:13" s="15" customFormat="1" ht="27" customHeight="1" hidden="1">
      <c r="A148" s="195"/>
      <c r="B148" s="2"/>
      <c r="C148" s="91"/>
      <c r="D148" s="438"/>
      <c r="E148" s="484"/>
      <c r="F148" s="484"/>
      <c r="G148" s="197"/>
      <c r="H148" s="197"/>
      <c r="I148" s="197"/>
      <c r="J148" s="197"/>
      <c r="K148" s="197"/>
      <c r="L148" s="197"/>
      <c r="M148" s="90"/>
    </row>
    <row r="149" spans="1:13" s="15" customFormat="1" ht="29.25" customHeight="1" hidden="1">
      <c r="A149" s="195"/>
      <c r="B149" s="2"/>
      <c r="C149" s="91"/>
      <c r="D149" s="14"/>
      <c r="E149" s="485"/>
      <c r="F149" s="485"/>
      <c r="G149" s="197"/>
      <c r="H149" s="178"/>
      <c r="I149" s="178"/>
      <c r="J149" s="178"/>
      <c r="K149" s="178"/>
      <c r="L149" s="178"/>
      <c r="M149" s="90"/>
    </row>
    <row r="150" spans="1:13" s="15" customFormat="1" ht="15">
      <c r="A150" s="195"/>
      <c r="B150" s="16" t="s">
        <v>152</v>
      </c>
      <c r="C150" s="91"/>
      <c r="D150" s="196"/>
      <c r="E150" s="484"/>
      <c r="F150" s="484"/>
      <c r="G150" s="197"/>
      <c r="H150" s="197"/>
      <c r="I150" s="197"/>
      <c r="J150" s="197"/>
      <c r="K150" s="197"/>
      <c r="L150" s="197"/>
      <c r="M150" s="90"/>
    </row>
    <row r="151" spans="1:13" s="15" customFormat="1" ht="64.5" customHeight="1">
      <c r="A151" s="195"/>
      <c r="B151" s="2" t="s">
        <v>391</v>
      </c>
      <c r="C151" s="91" t="s">
        <v>153</v>
      </c>
      <c r="D151" s="483" t="s">
        <v>180</v>
      </c>
      <c r="E151" s="178"/>
      <c r="F151" s="178"/>
      <c r="G151" s="197"/>
      <c r="H151" s="178"/>
      <c r="I151" s="178"/>
      <c r="J151" s="178"/>
      <c r="K151" s="178">
        <v>5</v>
      </c>
      <c r="L151" s="178"/>
      <c r="M151" s="414">
        <f>K151</f>
        <v>5</v>
      </c>
    </row>
    <row r="152" spans="1:13" s="15" customFormat="1" ht="25.5" customHeight="1">
      <c r="A152" s="195"/>
      <c r="B152" s="2" t="s">
        <v>382</v>
      </c>
      <c r="C152" s="91" t="s">
        <v>153</v>
      </c>
      <c r="D152" s="483"/>
      <c r="E152" s="178"/>
      <c r="F152" s="178"/>
      <c r="G152" s="178"/>
      <c r="H152" s="178"/>
      <c r="I152" s="178"/>
      <c r="J152" s="178"/>
      <c r="K152" s="178">
        <v>12</v>
      </c>
      <c r="L152" s="197"/>
      <c r="M152" s="414">
        <f>K152</f>
        <v>12</v>
      </c>
    </row>
    <row r="153" spans="1:13" s="15" customFormat="1" ht="15">
      <c r="A153" s="195"/>
      <c r="B153" s="16" t="s">
        <v>154</v>
      </c>
      <c r="C153" s="91"/>
      <c r="D153" s="196"/>
      <c r="E153" s="484"/>
      <c r="F153" s="484"/>
      <c r="G153" s="197"/>
      <c r="H153" s="197"/>
      <c r="I153" s="197"/>
      <c r="J153" s="197"/>
      <c r="K153" s="197"/>
      <c r="L153" s="197"/>
      <c r="M153" s="90"/>
    </row>
    <row r="154" spans="1:13" s="15" customFormat="1" ht="24" customHeight="1">
      <c r="A154" s="174"/>
      <c r="B154" s="2" t="s">
        <v>394</v>
      </c>
      <c r="C154" s="91" t="s">
        <v>63</v>
      </c>
      <c r="D154" s="196" t="s">
        <v>109</v>
      </c>
      <c r="E154" s="197" t="e">
        <f>E147/E152/E151</f>
        <v>#DIV/0!</v>
      </c>
      <c r="F154" s="197"/>
      <c r="G154" s="197"/>
      <c r="H154" s="197"/>
      <c r="I154" s="197"/>
      <c r="J154" s="197"/>
      <c r="K154" s="197">
        <f>K147/K151/K152</f>
        <v>5733.333333333333</v>
      </c>
      <c r="L154" s="197"/>
      <c r="M154" s="414">
        <f>K154</f>
        <v>5733.333333333333</v>
      </c>
    </row>
    <row r="155" spans="1:13" s="15" customFormat="1" ht="27" customHeight="1">
      <c r="A155" s="173"/>
      <c r="B155" s="419" t="s">
        <v>51</v>
      </c>
      <c r="C155" s="475" t="s">
        <v>392</v>
      </c>
      <c r="D155" s="487"/>
      <c r="E155" s="487"/>
      <c r="F155" s="487"/>
      <c r="G155" s="487"/>
      <c r="H155" s="487"/>
      <c r="I155" s="487"/>
      <c r="J155" s="487"/>
      <c r="K155" s="487"/>
      <c r="L155" s="487"/>
      <c r="M155" s="90"/>
    </row>
    <row r="156" spans="1:13" s="15" customFormat="1" ht="15">
      <c r="A156" s="195"/>
      <c r="B156" s="16" t="s">
        <v>150</v>
      </c>
      <c r="C156" s="91"/>
      <c r="D156" s="196"/>
      <c r="E156" s="484"/>
      <c r="F156" s="484"/>
      <c r="G156" s="197"/>
      <c r="H156" s="484"/>
      <c r="I156" s="484"/>
      <c r="J156" s="197"/>
      <c r="K156" s="484"/>
      <c r="L156" s="484"/>
      <c r="M156" s="90"/>
    </row>
    <row r="157" spans="1:13" s="15" customFormat="1" ht="30" customHeight="1">
      <c r="A157" s="195"/>
      <c r="B157" s="2" t="s">
        <v>166</v>
      </c>
      <c r="C157" s="91" t="s">
        <v>63</v>
      </c>
      <c r="D157" s="438" t="s">
        <v>317</v>
      </c>
      <c r="E157" s="197"/>
      <c r="F157" s="197"/>
      <c r="G157" s="197"/>
      <c r="H157" s="197"/>
      <c r="I157" s="197"/>
      <c r="J157" s="197"/>
      <c r="K157" s="197">
        <v>18000</v>
      </c>
      <c r="L157" s="197"/>
      <c r="M157" s="414">
        <f>K157</f>
        <v>18000</v>
      </c>
    </row>
    <row r="158" spans="1:13" s="15" customFormat="1" ht="27" customHeight="1" hidden="1">
      <c r="A158" s="195"/>
      <c r="B158" s="2"/>
      <c r="C158" s="91"/>
      <c r="D158" s="438"/>
      <c r="E158" s="484"/>
      <c r="F158" s="484"/>
      <c r="G158" s="197"/>
      <c r="H158" s="197"/>
      <c r="I158" s="197"/>
      <c r="J158" s="197"/>
      <c r="K158" s="197"/>
      <c r="L158" s="197"/>
      <c r="M158" s="90"/>
    </row>
    <row r="159" spans="1:13" s="15" customFormat="1" ht="29.25" customHeight="1" hidden="1">
      <c r="A159" s="195"/>
      <c r="B159" s="2"/>
      <c r="C159" s="91"/>
      <c r="D159" s="14"/>
      <c r="E159" s="485"/>
      <c r="F159" s="485"/>
      <c r="G159" s="197"/>
      <c r="H159" s="178"/>
      <c r="I159" s="178"/>
      <c r="J159" s="178"/>
      <c r="K159" s="178"/>
      <c r="L159" s="178"/>
      <c r="M159" s="90"/>
    </row>
    <row r="160" spans="1:13" s="15" customFormat="1" ht="15">
      <c r="A160" s="195"/>
      <c r="B160" s="16" t="s">
        <v>152</v>
      </c>
      <c r="C160" s="91"/>
      <c r="D160" s="196"/>
      <c r="E160" s="484"/>
      <c r="F160" s="484"/>
      <c r="G160" s="197"/>
      <c r="H160" s="197"/>
      <c r="I160" s="197"/>
      <c r="J160" s="197"/>
      <c r="K160" s="197"/>
      <c r="L160" s="197"/>
      <c r="M160" s="90"/>
    </row>
    <row r="161" spans="1:13" s="15" customFormat="1" ht="94.5" customHeight="1">
      <c r="A161" s="195"/>
      <c r="B161" s="2" t="s">
        <v>393</v>
      </c>
      <c r="C161" s="91" t="s">
        <v>153</v>
      </c>
      <c r="D161" s="14" t="s">
        <v>180</v>
      </c>
      <c r="E161" s="178"/>
      <c r="F161" s="178"/>
      <c r="G161" s="197"/>
      <c r="H161" s="178"/>
      <c r="I161" s="178"/>
      <c r="J161" s="178"/>
      <c r="K161" s="178">
        <v>10</v>
      </c>
      <c r="L161" s="178"/>
      <c r="M161" s="414">
        <f>K161</f>
        <v>10</v>
      </c>
    </row>
    <row r="162" spans="1:13" s="15" customFormat="1" ht="15">
      <c r="A162" s="195"/>
      <c r="B162" s="16" t="s">
        <v>154</v>
      </c>
      <c r="C162" s="91"/>
      <c r="D162" s="196"/>
      <c r="E162" s="484"/>
      <c r="F162" s="484"/>
      <c r="G162" s="197"/>
      <c r="H162" s="197"/>
      <c r="I162" s="197"/>
      <c r="J162" s="197"/>
      <c r="K162" s="197"/>
      <c r="L162" s="197"/>
      <c r="M162" s="90"/>
    </row>
    <row r="163" spans="1:13" s="15" customFormat="1" ht="24" customHeight="1">
      <c r="A163" s="174"/>
      <c r="B163" s="2" t="s">
        <v>396</v>
      </c>
      <c r="C163" s="91" t="s">
        <v>63</v>
      </c>
      <c r="D163" s="196" t="s">
        <v>109</v>
      </c>
      <c r="E163" s="197"/>
      <c r="F163" s="197"/>
      <c r="G163" s="197"/>
      <c r="H163" s="197"/>
      <c r="I163" s="197"/>
      <c r="J163" s="197"/>
      <c r="K163" s="197">
        <f>K157/K161</f>
        <v>1800</v>
      </c>
      <c r="L163" s="197"/>
      <c r="M163" s="414">
        <f>K163</f>
        <v>1800</v>
      </c>
    </row>
    <row r="164" spans="1:13" s="15" customFormat="1" ht="27" customHeight="1">
      <c r="A164" s="173"/>
      <c r="B164" s="419"/>
      <c r="C164" s="475" t="s">
        <v>210</v>
      </c>
      <c r="D164" s="487"/>
      <c r="E164" s="487"/>
      <c r="F164" s="487"/>
      <c r="G164" s="487"/>
      <c r="H164" s="487"/>
      <c r="I164" s="487"/>
      <c r="J164" s="487"/>
      <c r="K164" s="487"/>
      <c r="L164" s="487"/>
      <c r="M164" s="90"/>
    </row>
    <row r="165" spans="1:13" s="15" customFormat="1" ht="27" customHeight="1">
      <c r="A165" s="173"/>
      <c r="B165" s="419" t="s">
        <v>51</v>
      </c>
      <c r="C165" s="475" t="s">
        <v>162</v>
      </c>
      <c r="D165" s="487"/>
      <c r="E165" s="487"/>
      <c r="F165" s="487"/>
      <c r="G165" s="487"/>
      <c r="H165" s="487"/>
      <c r="I165" s="487"/>
      <c r="J165" s="487"/>
      <c r="K165" s="487"/>
      <c r="L165" s="487"/>
      <c r="M165" s="90"/>
    </row>
    <row r="166" spans="1:13" s="15" customFormat="1" ht="15">
      <c r="A166" s="195"/>
      <c r="B166" s="16" t="s">
        <v>150</v>
      </c>
      <c r="C166" s="91"/>
      <c r="D166" s="196"/>
      <c r="E166" s="484"/>
      <c r="F166" s="484"/>
      <c r="G166" s="197"/>
      <c r="H166" s="484"/>
      <c r="I166" s="484"/>
      <c r="J166" s="197"/>
      <c r="K166" s="484"/>
      <c r="L166" s="484"/>
      <c r="M166" s="90"/>
    </row>
    <row r="167" spans="1:13" s="15" customFormat="1" ht="71.25" customHeight="1">
      <c r="A167" s="195"/>
      <c r="B167" s="2" t="s">
        <v>166</v>
      </c>
      <c r="C167" s="91" t="s">
        <v>63</v>
      </c>
      <c r="D167" s="438" t="s">
        <v>388</v>
      </c>
      <c r="E167" s="197">
        <v>98590</v>
      </c>
      <c r="F167" s="197"/>
      <c r="G167" s="197">
        <f>E167</f>
        <v>98590</v>
      </c>
      <c r="H167" s="197">
        <v>144000</v>
      </c>
      <c r="I167" s="197"/>
      <c r="J167" s="197">
        <f>H167</f>
        <v>144000</v>
      </c>
      <c r="K167" s="197">
        <v>174000</v>
      </c>
      <c r="L167" s="197"/>
      <c r="M167" s="414">
        <f>K167</f>
        <v>174000</v>
      </c>
    </row>
    <row r="168" spans="1:13" s="15" customFormat="1" ht="27" customHeight="1" hidden="1">
      <c r="A168" s="195"/>
      <c r="B168" s="2"/>
      <c r="C168" s="91"/>
      <c r="D168" s="438"/>
      <c r="E168" s="484"/>
      <c r="F168" s="484"/>
      <c r="G168" s="197">
        <f aca="true" t="shared" si="2" ref="G168:G175">E168</f>
        <v>0</v>
      </c>
      <c r="H168" s="197"/>
      <c r="I168" s="197"/>
      <c r="J168" s="197"/>
      <c r="K168" s="197"/>
      <c r="L168" s="197"/>
      <c r="M168" s="90"/>
    </row>
    <row r="169" spans="1:13" s="15" customFormat="1" ht="29.25" customHeight="1" hidden="1">
      <c r="A169" s="195"/>
      <c r="B169" s="2"/>
      <c r="C169" s="91"/>
      <c r="D169" s="14"/>
      <c r="E169" s="485"/>
      <c r="F169" s="485"/>
      <c r="G169" s="197">
        <f t="shared" si="2"/>
        <v>0</v>
      </c>
      <c r="H169" s="178"/>
      <c r="I169" s="178"/>
      <c r="J169" s="178"/>
      <c r="K169" s="178"/>
      <c r="L169" s="178"/>
      <c r="M169" s="90"/>
    </row>
    <row r="170" spans="1:13" s="15" customFormat="1" ht="15">
      <c r="A170" s="195"/>
      <c r="B170" s="16" t="s">
        <v>152</v>
      </c>
      <c r="C170" s="91"/>
      <c r="D170" s="196"/>
      <c r="E170" s="484"/>
      <c r="F170" s="484"/>
      <c r="G170" s="197"/>
      <c r="H170" s="197"/>
      <c r="I170" s="197"/>
      <c r="J170" s="197"/>
      <c r="K170" s="197"/>
      <c r="L170" s="197"/>
      <c r="M170" s="90"/>
    </row>
    <row r="171" spans="1:13" s="15" customFormat="1" ht="99" customHeight="1">
      <c r="A171" s="195"/>
      <c r="B171" s="2" t="s">
        <v>167</v>
      </c>
      <c r="C171" s="91" t="s">
        <v>153</v>
      </c>
      <c r="D171" s="483" t="s">
        <v>450</v>
      </c>
      <c r="E171" s="178">
        <v>17</v>
      </c>
      <c r="F171" s="178"/>
      <c r="G171" s="197">
        <f t="shared" si="2"/>
        <v>17</v>
      </c>
      <c r="H171" s="178">
        <v>24</v>
      </c>
      <c r="I171" s="178"/>
      <c r="J171" s="178">
        <f>H171</f>
        <v>24</v>
      </c>
      <c r="K171" s="178">
        <v>29</v>
      </c>
      <c r="L171" s="178"/>
      <c r="M171" s="414">
        <f>K171</f>
        <v>29</v>
      </c>
    </row>
    <row r="172" spans="1:13" s="15" customFormat="1" ht="25.5" customHeight="1" hidden="1">
      <c r="A172" s="195"/>
      <c r="B172" s="2" t="s">
        <v>168</v>
      </c>
      <c r="C172" s="91" t="s">
        <v>153</v>
      </c>
      <c r="D172" s="483"/>
      <c r="E172" s="200"/>
      <c r="F172" s="197"/>
      <c r="G172" s="197">
        <f t="shared" si="2"/>
        <v>0</v>
      </c>
      <c r="H172" s="200"/>
      <c r="I172" s="197"/>
      <c r="J172" s="178">
        <f>H172</f>
        <v>0</v>
      </c>
      <c r="K172" s="200"/>
      <c r="L172" s="197"/>
      <c r="M172" s="414">
        <f>K172</f>
        <v>0</v>
      </c>
    </row>
    <row r="173" spans="1:13" s="15" customFormat="1" ht="29.25" customHeight="1">
      <c r="A173" s="195"/>
      <c r="B173" s="2" t="s">
        <v>213</v>
      </c>
      <c r="C173" s="91" t="s">
        <v>215</v>
      </c>
      <c r="D173" s="483"/>
      <c r="E173" s="178">
        <v>12</v>
      </c>
      <c r="F173" s="178"/>
      <c r="G173" s="197">
        <f t="shared" si="2"/>
        <v>12</v>
      </c>
      <c r="H173" s="178">
        <v>12</v>
      </c>
      <c r="I173" s="178"/>
      <c r="J173" s="178">
        <f>H173</f>
        <v>12</v>
      </c>
      <c r="K173" s="178">
        <v>12</v>
      </c>
      <c r="L173" s="178"/>
      <c r="M173" s="414">
        <f>K173</f>
        <v>12</v>
      </c>
    </row>
    <row r="174" spans="1:13" s="15" customFormat="1" ht="15">
      <c r="A174" s="195"/>
      <c r="B174" s="16" t="s">
        <v>154</v>
      </c>
      <c r="C174" s="91"/>
      <c r="D174" s="196"/>
      <c r="E174" s="484"/>
      <c r="F174" s="484"/>
      <c r="G174" s="197"/>
      <c r="H174" s="197"/>
      <c r="I174" s="197"/>
      <c r="J174" s="197"/>
      <c r="K174" s="197"/>
      <c r="L174" s="197"/>
      <c r="M174" s="90"/>
    </row>
    <row r="175" spans="1:13" s="15" customFormat="1" ht="33" customHeight="1">
      <c r="A175" s="174"/>
      <c r="B175" s="2" t="s">
        <v>214</v>
      </c>
      <c r="C175" s="91" t="s">
        <v>63</v>
      </c>
      <c r="D175" s="196" t="s">
        <v>109</v>
      </c>
      <c r="E175" s="197">
        <f>E167/E171/E173</f>
        <v>483.28431372549016</v>
      </c>
      <c r="F175" s="197"/>
      <c r="G175" s="197">
        <f t="shared" si="2"/>
        <v>483.28431372549016</v>
      </c>
      <c r="H175" s="197">
        <f>H167/H171/H173</f>
        <v>500</v>
      </c>
      <c r="I175" s="197"/>
      <c r="J175" s="197">
        <f>H175</f>
        <v>500</v>
      </c>
      <c r="K175" s="197">
        <f>K167/K171/K173</f>
        <v>500</v>
      </c>
      <c r="L175" s="197"/>
      <c r="M175" s="414">
        <f>K175</f>
        <v>500</v>
      </c>
    </row>
    <row r="176" spans="1:13" s="15" customFormat="1" ht="15.75" customHeight="1" hidden="1">
      <c r="A176" s="201"/>
      <c r="B176" s="341" t="s">
        <v>51</v>
      </c>
      <c r="C176" s="513" t="s">
        <v>169</v>
      </c>
      <c r="D176" s="514"/>
      <c r="E176" s="514"/>
      <c r="F176" s="514"/>
      <c r="G176" s="514"/>
      <c r="H176" s="514"/>
      <c r="I176" s="514"/>
      <c r="J176" s="514"/>
      <c r="K176" s="514"/>
      <c r="L176" s="514"/>
      <c r="M176" s="90"/>
    </row>
    <row r="177" spans="1:13" s="15" customFormat="1" ht="16.5" customHeight="1" hidden="1">
      <c r="A177" s="174"/>
      <c r="B177" s="420" t="s">
        <v>170</v>
      </c>
      <c r="C177" s="91"/>
      <c r="D177" s="176"/>
      <c r="E177" s="476"/>
      <c r="F177" s="476"/>
      <c r="G177" s="177"/>
      <c r="H177" s="476"/>
      <c r="I177" s="476"/>
      <c r="J177" s="177"/>
      <c r="K177" s="476"/>
      <c r="L177" s="476"/>
      <c r="M177" s="90"/>
    </row>
    <row r="178" spans="1:13" s="15" customFormat="1" ht="18" customHeight="1" hidden="1">
      <c r="A178" s="174"/>
      <c r="B178" s="2" t="s">
        <v>171</v>
      </c>
      <c r="C178" s="91" t="s">
        <v>63</v>
      </c>
      <c r="D178" s="2" t="s">
        <v>172</v>
      </c>
      <c r="E178" s="510"/>
      <c r="F178" s="510"/>
      <c r="G178" s="202"/>
      <c r="H178" s="510"/>
      <c r="I178" s="510"/>
      <c r="J178" s="384"/>
      <c r="K178" s="486">
        <v>13100</v>
      </c>
      <c r="L178" s="486"/>
      <c r="M178" s="90"/>
    </row>
    <row r="179" spans="1:13" s="15" customFormat="1" ht="14.25" customHeight="1" hidden="1">
      <c r="A179" s="174"/>
      <c r="B179" s="420" t="s">
        <v>53</v>
      </c>
      <c r="C179" s="91"/>
      <c r="D179" s="90"/>
      <c r="E179" s="486"/>
      <c r="F179" s="486"/>
      <c r="G179" s="202"/>
      <c r="H179" s="486"/>
      <c r="I179" s="486"/>
      <c r="J179" s="202"/>
      <c r="K179" s="486"/>
      <c r="L179" s="486"/>
      <c r="M179" s="90"/>
    </row>
    <row r="180" spans="1:13" s="15" customFormat="1" ht="24.75" customHeight="1" hidden="1">
      <c r="A180" s="174"/>
      <c r="B180" s="2" t="s">
        <v>173</v>
      </c>
      <c r="C180" s="91" t="s">
        <v>63</v>
      </c>
      <c r="D180" s="2" t="s">
        <v>174</v>
      </c>
      <c r="E180" s="486"/>
      <c r="F180" s="486"/>
      <c r="G180" s="202"/>
      <c r="H180" s="486"/>
      <c r="I180" s="486"/>
      <c r="J180" s="202"/>
      <c r="K180" s="510">
        <f>K178</f>
        <v>13100</v>
      </c>
      <c r="L180" s="510"/>
      <c r="M180" s="90"/>
    </row>
    <row r="181" spans="1:13" s="15" customFormat="1" ht="15" customHeight="1" hidden="1">
      <c r="A181" s="174"/>
      <c r="B181" s="420" t="s">
        <v>55</v>
      </c>
      <c r="C181" s="91"/>
      <c r="D181" s="90"/>
      <c r="E181" s="486"/>
      <c r="F181" s="486"/>
      <c r="G181" s="202"/>
      <c r="H181" s="486"/>
      <c r="I181" s="486"/>
      <c r="J181" s="202"/>
      <c r="K181" s="510"/>
      <c r="L181" s="510"/>
      <c r="M181" s="90"/>
    </row>
    <row r="182" spans="1:13" s="15" customFormat="1" ht="26.25" hidden="1">
      <c r="A182" s="174"/>
      <c r="B182" s="2" t="s">
        <v>175</v>
      </c>
      <c r="C182" s="91" t="s">
        <v>97</v>
      </c>
      <c r="D182" s="91" t="s">
        <v>109</v>
      </c>
      <c r="E182" s="511"/>
      <c r="F182" s="511"/>
      <c r="G182" s="203"/>
      <c r="H182" s="511"/>
      <c r="I182" s="511"/>
      <c r="J182" s="203"/>
      <c r="K182" s="512">
        <v>100</v>
      </c>
      <c r="L182" s="512"/>
      <c r="M182" s="90"/>
    </row>
    <row r="183" spans="1:13" s="15" customFormat="1" ht="39.75" customHeight="1">
      <c r="A183" s="173"/>
      <c r="B183" s="341" t="s">
        <v>51</v>
      </c>
      <c r="C183" s="475" t="s">
        <v>176</v>
      </c>
      <c r="D183" s="475"/>
      <c r="E183" s="475"/>
      <c r="F183" s="475"/>
      <c r="G183" s="475"/>
      <c r="H183" s="475"/>
      <c r="I183" s="475"/>
      <c r="J183" s="475"/>
      <c r="K183" s="475"/>
      <c r="L183" s="475"/>
      <c r="M183" s="90"/>
    </row>
    <row r="184" spans="1:13" s="15" customFormat="1" ht="16.5" customHeight="1">
      <c r="A184" s="174"/>
      <c r="B184" s="420" t="s">
        <v>150</v>
      </c>
      <c r="C184" s="91"/>
      <c r="D184" s="176"/>
      <c r="E184" s="476"/>
      <c r="F184" s="476"/>
      <c r="G184" s="177"/>
      <c r="H184" s="480"/>
      <c r="I184" s="480"/>
      <c r="J184" s="268"/>
      <c r="K184" s="476"/>
      <c r="L184" s="476"/>
      <c r="M184" s="90"/>
    </row>
    <row r="185" spans="1:13" s="15" customFormat="1" ht="43.5" customHeight="1">
      <c r="A185" s="174"/>
      <c r="B185" s="2" t="s">
        <v>151</v>
      </c>
      <c r="C185" s="91" t="s">
        <v>63</v>
      </c>
      <c r="D185" s="2" t="s">
        <v>387</v>
      </c>
      <c r="E185" s="178">
        <v>84980</v>
      </c>
      <c r="F185" s="178"/>
      <c r="G185" s="178">
        <f>E185</f>
        <v>84980</v>
      </c>
      <c r="H185" s="178">
        <f>60000+25000</f>
        <v>85000</v>
      </c>
      <c r="I185" s="178"/>
      <c r="J185" s="178">
        <f>H185</f>
        <v>85000</v>
      </c>
      <c r="K185" s="178"/>
      <c r="L185" s="178"/>
      <c r="M185" s="90"/>
    </row>
    <row r="186" spans="1:13" s="15" customFormat="1" ht="15" customHeight="1">
      <c r="A186" s="174"/>
      <c r="B186" s="420" t="s">
        <v>152</v>
      </c>
      <c r="C186" s="91"/>
      <c r="D186" s="2"/>
      <c r="E186" s="178"/>
      <c r="F186" s="178"/>
      <c r="G186" s="178"/>
      <c r="H186" s="204"/>
      <c r="I186" s="204"/>
      <c r="J186" s="204"/>
      <c r="K186" s="204"/>
      <c r="L186" s="204"/>
      <c r="M186" s="90"/>
    </row>
    <row r="187" spans="1:13" s="15" customFormat="1" ht="97.5" customHeight="1">
      <c r="A187" s="174"/>
      <c r="B187" s="2" t="s">
        <v>177</v>
      </c>
      <c r="C187" s="91" t="s">
        <v>153</v>
      </c>
      <c r="D187" s="14" t="s">
        <v>451</v>
      </c>
      <c r="E187" s="178">
        <v>8</v>
      </c>
      <c r="F187" s="178"/>
      <c r="G187" s="178">
        <f>E187</f>
        <v>8</v>
      </c>
      <c r="H187" s="204">
        <v>8</v>
      </c>
      <c r="I187" s="204"/>
      <c r="J187" s="204">
        <f>H187</f>
        <v>8</v>
      </c>
      <c r="K187" s="204"/>
      <c r="L187" s="204"/>
      <c r="M187" s="90"/>
    </row>
    <row r="188" spans="1:13" s="15" customFormat="1" ht="15">
      <c r="A188" s="174"/>
      <c r="B188" s="420" t="s">
        <v>154</v>
      </c>
      <c r="C188" s="91"/>
      <c r="D188" s="87"/>
      <c r="E188" s="178"/>
      <c r="F188" s="178"/>
      <c r="G188" s="178"/>
      <c r="H188" s="204"/>
      <c r="I188" s="204"/>
      <c r="J188" s="204"/>
      <c r="K188" s="204"/>
      <c r="L188" s="204"/>
      <c r="M188" s="90"/>
    </row>
    <row r="189" spans="1:13" s="15" customFormat="1" ht="28.5" customHeight="1">
      <c r="A189" s="73"/>
      <c r="B189" s="2" t="s">
        <v>178</v>
      </c>
      <c r="C189" s="91" t="s">
        <v>63</v>
      </c>
      <c r="D189" s="206" t="s">
        <v>109</v>
      </c>
      <c r="E189" s="178">
        <f>E185/E187</f>
        <v>10622.5</v>
      </c>
      <c r="F189" s="178"/>
      <c r="G189" s="178">
        <f>E189</f>
        <v>10622.5</v>
      </c>
      <c r="H189" s="204">
        <f>H185/H187</f>
        <v>10625</v>
      </c>
      <c r="I189" s="204"/>
      <c r="J189" s="204">
        <f>H189</f>
        <v>10625</v>
      </c>
      <c r="K189" s="204" t="e">
        <f>K185/K187</f>
        <v>#DIV/0!</v>
      </c>
      <c r="L189" s="204" t="e">
        <f>L185/L187</f>
        <v>#DIV/0!</v>
      </c>
      <c r="M189" s="90"/>
    </row>
    <row r="190" spans="1:13" s="15" customFormat="1" ht="28.5" customHeight="1">
      <c r="A190" s="73"/>
      <c r="B190" s="515" t="s">
        <v>185</v>
      </c>
      <c r="C190" s="515"/>
      <c r="D190" s="515"/>
      <c r="E190" s="515"/>
      <c r="F190" s="515"/>
      <c r="G190" s="515"/>
      <c r="H190" s="515"/>
      <c r="I190" s="515"/>
      <c r="J190" s="515"/>
      <c r="K190" s="515"/>
      <c r="L190" s="515"/>
      <c r="M190" s="90"/>
    </row>
    <row r="191" spans="1:13" s="15" customFormat="1" ht="25.5" customHeight="1">
      <c r="A191" s="173"/>
      <c r="B191" s="341" t="s">
        <v>51</v>
      </c>
      <c r="C191" s="475" t="s">
        <v>277</v>
      </c>
      <c r="D191" s="475"/>
      <c r="E191" s="475"/>
      <c r="F191" s="475"/>
      <c r="G191" s="475"/>
      <c r="H191" s="475"/>
      <c r="I191" s="475"/>
      <c r="J191" s="475"/>
      <c r="K191" s="475"/>
      <c r="L191" s="475"/>
      <c r="M191" s="90"/>
    </row>
    <row r="192" spans="1:13" s="15" customFormat="1" ht="16.5" customHeight="1">
      <c r="A192" s="174"/>
      <c r="B192" s="420" t="s">
        <v>150</v>
      </c>
      <c r="C192" s="91"/>
      <c r="D192" s="176"/>
      <c r="E192" s="476"/>
      <c r="F192" s="476"/>
      <c r="G192" s="177"/>
      <c r="H192" s="480"/>
      <c r="I192" s="480"/>
      <c r="J192" s="268"/>
      <c r="K192" s="476"/>
      <c r="L192" s="476"/>
      <c r="M192" s="90"/>
    </row>
    <row r="193" spans="1:13" s="15" customFormat="1" ht="43.5" customHeight="1">
      <c r="A193" s="174"/>
      <c r="B193" s="2" t="s">
        <v>151</v>
      </c>
      <c r="C193" s="91" t="s">
        <v>63</v>
      </c>
      <c r="D193" s="2" t="s">
        <v>387</v>
      </c>
      <c r="E193" s="178">
        <v>292369.23</v>
      </c>
      <c r="F193" s="178"/>
      <c r="G193" s="178">
        <f>E193</f>
        <v>292369.23</v>
      </c>
      <c r="H193" s="178">
        <v>150000</v>
      </c>
      <c r="I193" s="178"/>
      <c r="J193" s="178">
        <f>H193</f>
        <v>150000</v>
      </c>
      <c r="K193" s="178">
        <f>600000</f>
        <v>600000</v>
      </c>
      <c r="L193" s="178"/>
      <c r="M193" s="414">
        <f>K193</f>
        <v>600000</v>
      </c>
    </row>
    <row r="194" spans="1:13" s="15" customFormat="1" ht="15" customHeight="1">
      <c r="A194" s="174"/>
      <c r="B194" s="420" t="s">
        <v>152</v>
      </c>
      <c r="C194" s="91"/>
      <c r="D194" s="2"/>
      <c r="E194" s="178"/>
      <c r="F194" s="178"/>
      <c r="G194" s="178"/>
      <c r="H194" s="204"/>
      <c r="I194" s="204"/>
      <c r="J194" s="204"/>
      <c r="K194" s="204"/>
      <c r="L194" s="204"/>
      <c r="M194" s="90"/>
    </row>
    <row r="195" spans="1:13" s="15" customFormat="1" ht="15" customHeight="1">
      <c r="A195" s="174"/>
      <c r="B195" s="421" t="s">
        <v>507</v>
      </c>
      <c r="C195" s="91"/>
      <c r="D195" s="477" t="s">
        <v>180</v>
      </c>
      <c r="E195" s="178">
        <v>1</v>
      </c>
      <c r="F195" s="178"/>
      <c r="G195" s="178">
        <f>E195</f>
        <v>1</v>
      </c>
      <c r="H195" s="204"/>
      <c r="I195" s="204"/>
      <c r="J195" s="204"/>
      <c r="K195" s="204"/>
      <c r="L195" s="204"/>
      <c r="M195" s="90"/>
    </row>
    <row r="196" spans="1:13" s="15" customFormat="1" ht="81.75" customHeight="1">
      <c r="A196" s="174"/>
      <c r="B196" s="2" t="s">
        <v>506</v>
      </c>
      <c r="C196" s="91" t="s">
        <v>153</v>
      </c>
      <c r="D196" s="478"/>
      <c r="E196" s="178"/>
      <c r="F196" s="178"/>
      <c r="G196" s="178"/>
      <c r="H196" s="204">
        <v>65</v>
      </c>
      <c r="I196" s="204"/>
      <c r="J196" s="204">
        <f>H196</f>
        <v>65</v>
      </c>
      <c r="K196" s="204">
        <v>100</v>
      </c>
      <c r="L196" s="204"/>
      <c r="M196" s="414">
        <f>K196</f>
        <v>100</v>
      </c>
    </row>
    <row r="197" spans="1:13" s="15" customFormat="1" ht="15">
      <c r="A197" s="174"/>
      <c r="B197" s="420" t="s">
        <v>154</v>
      </c>
      <c r="C197" s="91"/>
      <c r="D197" s="87"/>
      <c r="E197" s="178"/>
      <c r="F197" s="178"/>
      <c r="G197" s="178"/>
      <c r="H197" s="204"/>
      <c r="I197" s="204"/>
      <c r="J197" s="204"/>
      <c r="K197" s="204"/>
      <c r="L197" s="204"/>
      <c r="M197" s="90"/>
    </row>
    <row r="198" spans="1:13" s="15" customFormat="1" ht="28.5" customHeight="1">
      <c r="A198" s="73"/>
      <c r="B198" s="2" t="s">
        <v>218</v>
      </c>
      <c r="C198" s="91" t="s">
        <v>63</v>
      </c>
      <c r="D198" s="206" t="s">
        <v>109</v>
      </c>
      <c r="E198" s="178">
        <f>E193/E195</f>
        <v>292369.23</v>
      </c>
      <c r="F198" s="178"/>
      <c r="G198" s="178">
        <f>E198</f>
        <v>292369.23</v>
      </c>
      <c r="H198" s="204">
        <f>H193/H196</f>
        <v>2307.6923076923076</v>
      </c>
      <c r="I198" s="204"/>
      <c r="J198" s="204">
        <f>H198</f>
        <v>2307.6923076923076</v>
      </c>
      <c r="K198" s="204">
        <f>K193/K196</f>
        <v>6000</v>
      </c>
      <c r="L198" s="204" t="e">
        <f>L193/L196</f>
        <v>#DIV/0!</v>
      </c>
      <c r="M198" s="414">
        <f>K198</f>
        <v>6000</v>
      </c>
    </row>
    <row r="199" spans="1:13" s="15" customFormat="1" ht="25.5" customHeight="1">
      <c r="A199" s="173"/>
      <c r="B199" s="341" t="s">
        <v>51</v>
      </c>
      <c r="C199" s="475" t="s">
        <v>290</v>
      </c>
      <c r="D199" s="475"/>
      <c r="E199" s="475"/>
      <c r="F199" s="475"/>
      <c r="G199" s="475"/>
      <c r="H199" s="475"/>
      <c r="I199" s="475"/>
      <c r="J199" s="475"/>
      <c r="K199" s="475"/>
      <c r="L199" s="475"/>
      <c r="M199" s="90"/>
    </row>
    <row r="200" spans="1:13" s="15" customFormat="1" ht="16.5" customHeight="1">
      <c r="A200" s="174"/>
      <c r="B200" s="420" t="s">
        <v>150</v>
      </c>
      <c r="C200" s="91"/>
      <c r="D200" s="176"/>
      <c r="E200" s="476"/>
      <c r="F200" s="476"/>
      <c r="G200" s="177"/>
      <c r="H200" s="480"/>
      <c r="I200" s="480"/>
      <c r="J200" s="268"/>
      <c r="K200" s="476"/>
      <c r="L200" s="476"/>
      <c r="M200" s="90"/>
    </row>
    <row r="201" spans="1:13" s="15" customFormat="1" ht="43.5" customHeight="1">
      <c r="A201" s="174"/>
      <c r="B201" s="2" t="s">
        <v>151</v>
      </c>
      <c r="C201" s="91" t="s">
        <v>63</v>
      </c>
      <c r="D201" s="2" t="s">
        <v>216</v>
      </c>
      <c r="E201" s="178"/>
      <c r="F201" s="178"/>
      <c r="G201" s="178"/>
      <c r="H201" s="178">
        <v>56000</v>
      </c>
      <c r="I201" s="178"/>
      <c r="J201" s="178">
        <f>H201</f>
        <v>56000</v>
      </c>
      <c r="K201" s="178">
        <v>100000</v>
      </c>
      <c r="L201" s="178"/>
      <c r="M201" s="414">
        <f>K201</f>
        <v>100000</v>
      </c>
    </row>
    <row r="202" spans="1:13" s="15" customFormat="1" ht="15" customHeight="1">
      <c r="A202" s="174"/>
      <c r="B202" s="420" t="s">
        <v>152</v>
      </c>
      <c r="C202" s="91"/>
      <c r="D202" s="2"/>
      <c r="E202" s="178"/>
      <c r="F202" s="178"/>
      <c r="G202" s="178"/>
      <c r="H202" s="204"/>
      <c r="I202" s="204"/>
      <c r="J202" s="204"/>
      <c r="K202" s="204"/>
      <c r="L202" s="204"/>
      <c r="M202" s="90"/>
    </row>
    <row r="203" spans="1:13" s="15" customFormat="1" ht="97.5" customHeight="1">
      <c r="A203" s="174"/>
      <c r="B203" s="2" t="s">
        <v>291</v>
      </c>
      <c r="C203" s="91" t="s">
        <v>153</v>
      </c>
      <c r="D203" s="14" t="s">
        <v>180</v>
      </c>
      <c r="E203" s="178"/>
      <c r="F203" s="178"/>
      <c r="G203" s="178"/>
      <c r="H203" s="204">
        <v>5</v>
      </c>
      <c r="I203" s="204"/>
      <c r="J203" s="204">
        <f>H203</f>
        <v>5</v>
      </c>
      <c r="K203" s="204">
        <v>5</v>
      </c>
      <c r="L203" s="204"/>
      <c r="M203" s="414">
        <f>K203</f>
        <v>5</v>
      </c>
    </row>
    <row r="204" spans="1:13" s="15" customFormat="1" ht="15">
      <c r="A204" s="174"/>
      <c r="B204" s="420" t="s">
        <v>154</v>
      </c>
      <c r="C204" s="91"/>
      <c r="D204" s="87"/>
      <c r="E204" s="178"/>
      <c r="F204" s="178"/>
      <c r="G204" s="178"/>
      <c r="H204" s="204"/>
      <c r="I204" s="204"/>
      <c r="J204" s="204"/>
      <c r="K204" s="204"/>
      <c r="L204" s="204"/>
      <c r="M204" s="90"/>
    </row>
    <row r="205" spans="1:13" s="15" customFormat="1" ht="28.5" customHeight="1">
      <c r="A205" s="73"/>
      <c r="B205" s="2" t="s">
        <v>320</v>
      </c>
      <c r="C205" s="91" t="s">
        <v>63</v>
      </c>
      <c r="D205" s="206" t="s">
        <v>109</v>
      </c>
      <c r="E205" s="178" t="e">
        <f>E201/E203</f>
        <v>#DIV/0!</v>
      </c>
      <c r="F205" s="178"/>
      <c r="G205" s="178"/>
      <c r="H205" s="204">
        <f>H201/H203</f>
        <v>11200</v>
      </c>
      <c r="I205" s="204"/>
      <c r="J205" s="204">
        <f>H205</f>
        <v>11200</v>
      </c>
      <c r="K205" s="204">
        <f>K201/K203</f>
        <v>20000</v>
      </c>
      <c r="L205" s="204" t="e">
        <f>L201/L203</f>
        <v>#DIV/0!</v>
      </c>
      <c r="M205" s="414">
        <f>K205</f>
        <v>20000</v>
      </c>
    </row>
    <row r="206" spans="1:13" s="15" customFormat="1" ht="25.5" customHeight="1">
      <c r="A206" s="173"/>
      <c r="B206" s="341" t="s">
        <v>51</v>
      </c>
      <c r="C206" s="475" t="s">
        <v>292</v>
      </c>
      <c r="D206" s="475"/>
      <c r="E206" s="475"/>
      <c r="F206" s="475"/>
      <c r="G206" s="475"/>
      <c r="H206" s="475"/>
      <c r="I206" s="475"/>
      <c r="J206" s="475"/>
      <c r="K206" s="475"/>
      <c r="L206" s="475"/>
      <c r="M206" s="90"/>
    </row>
    <row r="207" spans="1:13" s="15" customFormat="1" ht="16.5" customHeight="1">
      <c r="A207" s="174"/>
      <c r="B207" s="420" t="s">
        <v>150</v>
      </c>
      <c r="C207" s="91"/>
      <c r="D207" s="176"/>
      <c r="E207" s="476"/>
      <c r="F207" s="476"/>
      <c r="G207" s="177"/>
      <c r="H207" s="480"/>
      <c r="I207" s="480"/>
      <c r="J207" s="268"/>
      <c r="K207" s="476"/>
      <c r="L207" s="476"/>
      <c r="M207" s="90"/>
    </row>
    <row r="208" spans="1:13" s="15" customFormat="1" ht="43.5" customHeight="1">
      <c r="A208" s="174"/>
      <c r="B208" s="2" t="s">
        <v>151</v>
      </c>
      <c r="C208" s="91" t="s">
        <v>63</v>
      </c>
      <c r="D208" s="2" t="s">
        <v>362</v>
      </c>
      <c r="E208" s="178"/>
      <c r="F208" s="178"/>
      <c r="G208" s="178"/>
      <c r="H208" s="178">
        <f>401010</f>
        <v>401010</v>
      </c>
      <c r="I208" s="178"/>
      <c r="J208" s="178">
        <f>H208</f>
        <v>401010</v>
      </c>
      <c r="K208" s="178">
        <f>170000+100000</f>
        <v>270000</v>
      </c>
      <c r="L208" s="178"/>
      <c r="M208" s="414">
        <f>K208</f>
        <v>270000</v>
      </c>
    </row>
    <row r="209" spans="1:13" s="15" customFormat="1" ht="15" customHeight="1">
      <c r="A209" s="174"/>
      <c r="B209" s="420" t="s">
        <v>152</v>
      </c>
      <c r="C209" s="91"/>
      <c r="D209" s="2"/>
      <c r="E209" s="178"/>
      <c r="F209" s="178"/>
      <c r="G209" s="178"/>
      <c r="H209" s="204"/>
      <c r="I209" s="204"/>
      <c r="J209" s="204"/>
      <c r="K209" s="204"/>
      <c r="L209" s="204"/>
      <c r="M209" s="90"/>
    </row>
    <row r="210" spans="1:13" s="15" customFormat="1" ht="81.75" customHeight="1">
      <c r="A210" s="174"/>
      <c r="B210" s="2" t="s">
        <v>293</v>
      </c>
      <c r="C210" s="91" t="s">
        <v>153</v>
      </c>
      <c r="D210" s="483" t="s">
        <v>315</v>
      </c>
      <c r="E210" s="178"/>
      <c r="F210" s="178"/>
      <c r="G210" s="178"/>
      <c r="H210" s="204">
        <v>2</v>
      </c>
      <c r="I210" s="204"/>
      <c r="J210" s="204">
        <f>H210</f>
        <v>2</v>
      </c>
      <c r="K210" s="204">
        <v>2</v>
      </c>
      <c r="L210" s="204"/>
      <c r="M210" s="414">
        <f>K210</f>
        <v>2</v>
      </c>
    </row>
    <row r="211" spans="1:13" s="15" customFormat="1" ht="41.25" customHeight="1" hidden="1">
      <c r="A211" s="174"/>
      <c r="B211" s="2" t="s">
        <v>220</v>
      </c>
      <c r="C211" s="91" t="s">
        <v>221</v>
      </c>
      <c r="D211" s="483"/>
      <c r="E211" s="178"/>
      <c r="F211" s="178"/>
      <c r="G211" s="178"/>
      <c r="H211" s="204"/>
      <c r="I211" s="204"/>
      <c r="J211" s="204"/>
      <c r="K211" s="204"/>
      <c r="L211" s="204"/>
      <c r="M211" s="90"/>
    </row>
    <row r="212" spans="1:13" s="15" customFormat="1" ht="15">
      <c r="A212" s="174"/>
      <c r="B212" s="420" t="s">
        <v>154</v>
      </c>
      <c r="C212" s="91"/>
      <c r="D212" s="87"/>
      <c r="E212" s="178"/>
      <c r="F212" s="178"/>
      <c r="G212" s="178"/>
      <c r="H212" s="204"/>
      <c r="I212" s="204"/>
      <c r="J212" s="204"/>
      <c r="K212" s="204"/>
      <c r="L212" s="204"/>
      <c r="M212" s="90"/>
    </row>
    <row r="213" spans="1:13" s="15" customFormat="1" ht="28.5" customHeight="1">
      <c r="A213" s="73"/>
      <c r="B213" s="2" t="s">
        <v>321</v>
      </c>
      <c r="C213" s="91" t="s">
        <v>63</v>
      </c>
      <c r="D213" s="206" t="s">
        <v>109</v>
      </c>
      <c r="E213" s="178" t="e">
        <f>E208/E210</f>
        <v>#DIV/0!</v>
      </c>
      <c r="F213" s="178"/>
      <c r="G213" s="178"/>
      <c r="H213" s="204">
        <f>H208/H210</f>
        <v>200505</v>
      </c>
      <c r="I213" s="204"/>
      <c r="J213" s="204">
        <f>H213</f>
        <v>200505</v>
      </c>
      <c r="K213" s="204">
        <f>K208/K210</f>
        <v>135000</v>
      </c>
      <c r="L213" s="204" t="e">
        <f>L208/L210</f>
        <v>#DIV/0!</v>
      </c>
      <c r="M213" s="414">
        <f>K213</f>
        <v>135000</v>
      </c>
    </row>
    <row r="214" spans="1:13" s="15" customFormat="1" ht="28.5" customHeight="1">
      <c r="A214" s="73"/>
      <c r="B214" s="2"/>
      <c r="C214" s="91"/>
      <c r="D214" s="479" t="s">
        <v>223</v>
      </c>
      <c r="E214" s="479"/>
      <c r="F214" s="479"/>
      <c r="G214" s="479"/>
      <c r="H214" s="479"/>
      <c r="I214" s="479"/>
      <c r="J214" s="479"/>
      <c r="K214" s="479"/>
      <c r="L214" s="479"/>
      <c r="M214" s="90"/>
    </row>
    <row r="215" spans="1:13" s="15" customFormat="1" ht="25.5" customHeight="1">
      <c r="A215" s="173"/>
      <c r="B215" s="180" t="s">
        <v>51</v>
      </c>
      <c r="C215" s="475"/>
      <c r="D215" s="475"/>
      <c r="E215" s="475"/>
      <c r="F215" s="475"/>
      <c r="G215" s="475"/>
      <c r="H215" s="475"/>
      <c r="I215" s="475"/>
      <c r="J215" s="475"/>
      <c r="K215" s="475"/>
      <c r="L215" s="475"/>
      <c r="M215" s="90"/>
    </row>
    <row r="216" spans="1:13" s="15" customFormat="1" ht="16.5" customHeight="1">
      <c r="A216" s="174"/>
      <c r="B216" s="175" t="s">
        <v>150</v>
      </c>
      <c r="C216" s="91"/>
      <c r="D216" s="176"/>
      <c r="E216" s="476"/>
      <c r="F216" s="476"/>
      <c r="G216" s="177"/>
      <c r="H216" s="480"/>
      <c r="I216" s="480"/>
      <c r="J216" s="268"/>
      <c r="K216" s="476"/>
      <c r="L216" s="476"/>
      <c r="M216" s="90"/>
    </row>
    <row r="217" spans="1:13" s="15" customFormat="1" ht="43.5" customHeight="1">
      <c r="A217" s="174"/>
      <c r="B217" s="4" t="s">
        <v>151</v>
      </c>
      <c r="C217" s="91" t="s">
        <v>63</v>
      </c>
      <c r="D217" s="2" t="s">
        <v>452</v>
      </c>
      <c r="E217" s="178">
        <v>49174.35</v>
      </c>
      <c r="F217" s="178"/>
      <c r="G217" s="178">
        <f>E217</f>
        <v>49174.35</v>
      </c>
      <c r="H217" s="178">
        <v>80000</v>
      </c>
      <c r="I217" s="178"/>
      <c r="J217" s="178">
        <f>H217</f>
        <v>80000</v>
      </c>
      <c r="K217" s="178">
        <v>40000</v>
      </c>
      <c r="L217" s="178"/>
      <c r="M217" s="414">
        <f>K217</f>
        <v>40000</v>
      </c>
    </row>
    <row r="218" spans="1:13" s="15" customFormat="1" ht="15" customHeight="1">
      <c r="A218" s="174"/>
      <c r="B218" s="175" t="s">
        <v>152</v>
      </c>
      <c r="C218" s="91"/>
      <c r="D218" s="2"/>
      <c r="E218" s="178"/>
      <c r="F218" s="178"/>
      <c r="G218" s="178"/>
      <c r="H218" s="204"/>
      <c r="I218" s="204"/>
      <c r="J218" s="204"/>
      <c r="K218" s="204"/>
      <c r="L218" s="204"/>
      <c r="M218" s="90"/>
    </row>
    <row r="219" spans="1:13" s="15" customFormat="1" ht="96" customHeight="1">
      <c r="A219" s="174"/>
      <c r="B219" s="4" t="s">
        <v>294</v>
      </c>
      <c r="C219" s="91" t="s">
        <v>153</v>
      </c>
      <c r="D219" s="14" t="s">
        <v>180</v>
      </c>
      <c r="E219" s="178">
        <v>1</v>
      </c>
      <c r="F219" s="178"/>
      <c r="G219" s="178">
        <f>E219</f>
        <v>1</v>
      </c>
      <c r="H219" s="204">
        <v>2</v>
      </c>
      <c r="I219" s="204"/>
      <c r="J219" s="204">
        <f>H219</f>
        <v>2</v>
      </c>
      <c r="K219" s="204">
        <v>1</v>
      </c>
      <c r="L219" s="204"/>
      <c r="M219" s="414">
        <f>K219</f>
        <v>1</v>
      </c>
    </row>
    <row r="220" spans="1:13" s="15" customFormat="1" ht="15">
      <c r="A220" s="174"/>
      <c r="B220" s="175" t="s">
        <v>154</v>
      </c>
      <c r="C220" s="91"/>
      <c r="D220" s="87"/>
      <c r="E220" s="178"/>
      <c r="F220" s="178"/>
      <c r="G220" s="178"/>
      <c r="H220" s="204"/>
      <c r="I220" s="204"/>
      <c r="J220" s="204"/>
      <c r="K220" s="204"/>
      <c r="L220" s="204"/>
      <c r="M220" s="90"/>
    </row>
    <row r="221" spans="1:13" s="15" customFormat="1" ht="28.5" customHeight="1">
      <c r="A221" s="73"/>
      <c r="B221" s="4" t="s">
        <v>226</v>
      </c>
      <c r="C221" s="91" t="s">
        <v>63</v>
      </c>
      <c r="D221" s="206" t="s">
        <v>109</v>
      </c>
      <c r="E221" s="178">
        <f>E217/E219</f>
        <v>49174.35</v>
      </c>
      <c r="F221" s="178"/>
      <c r="G221" s="178">
        <f>E221</f>
        <v>49174.35</v>
      </c>
      <c r="H221" s="204">
        <f>H217/H219</f>
        <v>40000</v>
      </c>
      <c r="I221" s="204"/>
      <c r="J221" s="204">
        <f>H221</f>
        <v>40000</v>
      </c>
      <c r="K221" s="204">
        <f>K217/K219</f>
        <v>40000</v>
      </c>
      <c r="L221" s="204"/>
      <c r="M221" s="414">
        <f>K221</f>
        <v>40000</v>
      </c>
    </row>
    <row r="222" spans="1:13" s="15" customFormat="1" ht="28.5" customHeight="1">
      <c r="A222" s="73"/>
      <c r="B222" s="4"/>
      <c r="C222" s="91"/>
      <c r="D222" s="479" t="s">
        <v>356</v>
      </c>
      <c r="E222" s="479"/>
      <c r="F222" s="479"/>
      <c r="G222" s="479"/>
      <c r="H222" s="479"/>
      <c r="I222" s="479"/>
      <c r="J222" s="479"/>
      <c r="K222" s="479"/>
      <c r="L222" s="479"/>
      <c r="M222" s="90"/>
    </row>
    <row r="223" spans="1:13" s="15" customFormat="1" ht="25.5" customHeight="1" hidden="1">
      <c r="A223" s="173"/>
      <c r="B223" s="341" t="s">
        <v>51</v>
      </c>
      <c r="C223" s="475" t="s">
        <v>397</v>
      </c>
      <c r="D223" s="475"/>
      <c r="E223" s="475"/>
      <c r="F223" s="475"/>
      <c r="G223" s="475"/>
      <c r="H223" s="475"/>
      <c r="I223" s="475"/>
      <c r="J223" s="475"/>
      <c r="K223" s="475"/>
      <c r="L223" s="475"/>
      <c r="M223" s="90"/>
    </row>
    <row r="224" spans="1:13" s="15" customFormat="1" ht="16.5" customHeight="1" hidden="1">
      <c r="A224" s="174"/>
      <c r="B224" s="420" t="s">
        <v>150</v>
      </c>
      <c r="C224" s="91"/>
      <c r="D224" s="176"/>
      <c r="E224" s="476"/>
      <c r="F224" s="476"/>
      <c r="G224" s="177"/>
      <c r="H224" s="480"/>
      <c r="I224" s="480"/>
      <c r="J224" s="268"/>
      <c r="K224" s="476"/>
      <c r="L224" s="476"/>
      <c r="M224" s="90"/>
    </row>
    <row r="225" spans="1:13" s="15" customFormat="1" ht="43.5" customHeight="1" hidden="1">
      <c r="A225" s="174"/>
      <c r="B225" s="2" t="s">
        <v>151</v>
      </c>
      <c r="C225" s="91" t="s">
        <v>63</v>
      </c>
      <c r="D225" s="2" t="s">
        <v>449</v>
      </c>
      <c r="E225" s="178"/>
      <c r="F225" s="178"/>
      <c r="G225" s="178"/>
      <c r="H225" s="178"/>
      <c r="I225" s="178"/>
      <c r="J225" s="178"/>
      <c r="K225" s="178"/>
      <c r="L225" s="178"/>
      <c r="M225" s="90"/>
    </row>
    <row r="226" spans="1:13" s="15" customFormat="1" ht="15" customHeight="1" hidden="1">
      <c r="A226" s="174"/>
      <c r="B226" s="420" t="s">
        <v>152</v>
      </c>
      <c r="C226" s="91"/>
      <c r="D226" s="2"/>
      <c r="E226" s="178"/>
      <c r="F226" s="178"/>
      <c r="G226" s="178"/>
      <c r="H226" s="204"/>
      <c r="I226" s="204"/>
      <c r="J226" s="204"/>
      <c r="K226" s="204"/>
      <c r="L226" s="204"/>
      <c r="M226" s="90"/>
    </row>
    <row r="227" spans="1:13" s="15" customFormat="1" ht="96" customHeight="1" hidden="1">
      <c r="A227" s="174"/>
      <c r="B227" s="2" t="s">
        <v>294</v>
      </c>
      <c r="C227" s="91" t="s">
        <v>153</v>
      </c>
      <c r="D227" s="14" t="s">
        <v>180</v>
      </c>
      <c r="E227" s="178"/>
      <c r="F227" s="178"/>
      <c r="G227" s="178"/>
      <c r="H227" s="204"/>
      <c r="I227" s="204"/>
      <c r="J227" s="204"/>
      <c r="K227" s="204"/>
      <c r="L227" s="204"/>
      <c r="M227" s="90"/>
    </row>
    <row r="228" spans="1:13" s="15" customFormat="1" ht="15" hidden="1">
      <c r="A228" s="174"/>
      <c r="B228" s="420" t="s">
        <v>154</v>
      </c>
      <c r="C228" s="91"/>
      <c r="D228" s="87"/>
      <c r="E228" s="178"/>
      <c r="F228" s="178"/>
      <c r="G228" s="178"/>
      <c r="H228" s="204"/>
      <c r="I228" s="204"/>
      <c r="J228" s="204"/>
      <c r="K228" s="204"/>
      <c r="L228" s="204"/>
      <c r="M228" s="90"/>
    </row>
    <row r="229" spans="1:13" s="15" customFormat="1" ht="28.5" customHeight="1" hidden="1">
      <c r="A229" s="73"/>
      <c r="B229" s="2" t="s">
        <v>398</v>
      </c>
      <c r="C229" s="91" t="s">
        <v>63</v>
      </c>
      <c r="D229" s="206" t="s">
        <v>109</v>
      </c>
      <c r="E229" s="178" t="e">
        <f>E225/E227</f>
        <v>#DIV/0!</v>
      </c>
      <c r="F229" s="178"/>
      <c r="G229" s="178"/>
      <c r="H229" s="204" t="e">
        <f>H225/H227</f>
        <v>#DIV/0!</v>
      </c>
      <c r="I229" s="204"/>
      <c r="J229" s="204"/>
      <c r="K229" s="204" t="e">
        <f>K225/K227</f>
        <v>#DIV/0!</v>
      </c>
      <c r="L229" s="204"/>
      <c r="M229" s="90"/>
    </row>
    <row r="230" spans="1:13" s="15" customFormat="1" ht="25.5" customHeight="1">
      <c r="A230" s="173"/>
      <c r="B230" s="180" t="s">
        <v>51</v>
      </c>
      <c r="C230" s="475" t="s">
        <v>191</v>
      </c>
      <c r="D230" s="475"/>
      <c r="E230" s="475"/>
      <c r="F230" s="475"/>
      <c r="G230" s="475"/>
      <c r="H230" s="475"/>
      <c r="I230" s="475"/>
      <c r="J230" s="475"/>
      <c r="K230" s="475"/>
      <c r="L230" s="475"/>
      <c r="M230" s="90"/>
    </row>
    <row r="231" spans="1:13" s="15" customFormat="1" ht="25.5" customHeight="1">
      <c r="A231" s="173"/>
      <c r="B231" s="180" t="s">
        <v>51</v>
      </c>
      <c r="C231" s="475" t="s">
        <v>186</v>
      </c>
      <c r="D231" s="475"/>
      <c r="E231" s="475"/>
      <c r="F231" s="475"/>
      <c r="G231" s="475"/>
      <c r="H231" s="475"/>
      <c r="I231" s="475"/>
      <c r="J231" s="475"/>
      <c r="K231" s="475"/>
      <c r="L231" s="475"/>
      <c r="M231" s="90"/>
    </row>
    <row r="232" spans="1:13" s="15" customFormat="1" ht="16.5" customHeight="1">
      <c r="A232" s="174"/>
      <c r="B232" s="175" t="s">
        <v>150</v>
      </c>
      <c r="C232" s="91"/>
      <c r="D232" s="176"/>
      <c r="E232" s="476"/>
      <c r="F232" s="476"/>
      <c r="G232" s="177"/>
      <c r="H232" s="480"/>
      <c r="I232" s="480"/>
      <c r="J232" s="268"/>
      <c r="K232" s="476"/>
      <c r="L232" s="476"/>
      <c r="M232" s="90"/>
    </row>
    <row r="233" spans="1:13" s="15" customFormat="1" ht="43.5" customHeight="1">
      <c r="A233" s="174"/>
      <c r="B233" s="4" t="s">
        <v>151</v>
      </c>
      <c r="C233" s="91" t="s">
        <v>63</v>
      </c>
      <c r="D233" s="2" t="s">
        <v>363</v>
      </c>
      <c r="E233" s="178">
        <v>265405.23</v>
      </c>
      <c r="F233" s="178"/>
      <c r="G233" s="178">
        <f>E233</f>
        <v>265405.23</v>
      </c>
      <c r="H233" s="178">
        <v>60000</v>
      </c>
      <c r="I233" s="178"/>
      <c r="J233" s="178">
        <f>H233</f>
        <v>60000</v>
      </c>
      <c r="K233" s="178">
        <v>180000</v>
      </c>
      <c r="L233" s="178"/>
      <c r="M233" s="414">
        <f>K233</f>
        <v>180000</v>
      </c>
    </row>
    <row r="234" spans="1:13" s="15" customFormat="1" ht="15" customHeight="1">
      <c r="A234" s="174"/>
      <c r="B234" s="175" t="s">
        <v>152</v>
      </c>
      <c r="C234" s="91"/>
      <c r="D234" s="2"/>
      <c r="E234" s="178"/>
      <c r="F234" s="178"/>
      <c r="G234" s="178"/>
      <c r="H234" s="204"/>
      <c r="I234" s="204"/>
      <c r="J234" s="204"/>
      <c r="K234" s="204"/>
      <c r="L234" s="204"/>
      <c r="M234" s="90"/>
    </row>
    <row r="235" spans="1:13" s="15" customFormat="1" ht="96" customHeight="1">
      <c r="A235" s="174"/>
      <c r="B235" s="4" t="s">
        <v>227</v>
      </c>
      <c r="C235" s="91" t="s">
        <v>153</v>
      </c>
      <c r="D235" s="14" t="s">
        <v>180</v>
      </c>
      <c r="E235" s="178">
        <v>16</v>
      </c>
      <c r="F235" s="178"/>
      <c r="G235" s="178">
        <f>E235</f>
        <v>16</v>
      </c>
      <c r="H235" s="204">
        <v>16</v>
      </c>
      <c r="I235" s="204"/>
      <c r="J235" s="204">
        <f>H235</f>
        <v>16</v>
      </c>
      <c r="K235" s="204">
        <v>16</v>
      </c>
      <c r="L235" s="204"/>
      <c r="M235" s="414">
        <f>K235</f>
        <v>16</v>
      </c>
    </row>
    <row r="236" spans="1:13" s="15" customFormat="1" ht="15">
      <c r="A236" s="174"/>
      <c r="B236" s="175" t="s">
        <v>154</v>
      </c>
      <c r="C236" s="91"/>
      <c r="D236" s="87"/>
      <c r="E236" s="178"/>
      <c r="F236" s="178"/>
      <c r="G236" s="178"/>
      <c r="H236" s="204"/>
      <c r="I236" s="204"/>
      <c r="J236" s="204"/>
      <c r="K236" s="204"/>
      <c r="L236" s="204"/>
      <c r="M236" s="90"/>
    </row>
    <row r="237" spans="1:13" s="15" customFormat="1" ht="46.5" customHeight="1">
      <c r="A237" s="73"/>
      <c r="B237" s="4" t="s">
        <v>228</v>
      </c>
      <c r="C237" s="91" t="s">
        <v>63</v>
      </c>
      <c r="D237" s="206" t="s">
        <v>109</v>
      </c>
      <c r="E237" s="178">
        <f>E233/E235</f>
        <v>16587.826875</v>
      </c>
      <c r="F237" s="178"/>
      <c r="G237" s="178">
        <f>E237</f>
        <v>16587.826875</v>
      </c>
      <c r="H237" s="204">
        <f>H233/H235</f>
        <v>3750</v>
      </c>
      <c r="I237" s="204"/>
      <c r="J237" s="204">
        <f>H237</f>
        <v>3750</v>
      </c>
      <c r="K237" s="204">
        <f>K233/K235</f>
        <v>11250</v>
      </c>
      <c r="L237" s="204"/>
      <c r="M237" s="414">
        <f>K237</f>
        <v>11250</v>
      </c>
    </row>
    <row r="238" spans="1:13" s="37" customFormat="1" ht="25.5" customHeight="1">
      <c r="A238" s="281"/>
      <c r="B238" s="289" t="s">
        <v>51</v>
      </c>
      <c r="C238" s="493" t="s">
        <v>260</v>
      </c>
      <c r="D238" s="493"/>
      <c r="E238" s="493"/>
      <c r="F238" s="493"/>
      <c r="G238" s="493"/>
      <c r="H238" s="493"/>
      <c r="I238" s="493"/>
      <c r="J238" s="493"/>
      <c r="K238" s="493"/>
      <c r="L238" s="493"/>
      <c r="M238" s="87"/>
    </row>
    <row r="239" spans="1:13" s="37" customFormat="1" ht="16.5" customHeight="1">
      <c r="A239" s="288"/>
      <c r="B239" s="290" t="s">
        <v>150</v>
      </c>
      <c r="C239" s="206"/>
      <c r="D239" s="291"/>
      <c r="E239" s="480"/>
      <c r="F239" s="480"/>
      <c r="G239" s="268"/>
      <c r="H239" s="480"/>
      <c r="I239" s="480"/>
      <c r="J239" s="268"/>
      <c r="K239" s="480"/>
      <c r="L239" s="480"/>
      <c r="M239" s="87"/>
    </row>
    <row r="240" spans="1:13" s="37" customFormat="1" ht="33" customHeight="1">
      <c r="A240" s="288"/>
      <c r="B240" s="286" t="s">
        <v>151</v>
      </c>
      <c r="C240" s="206" t="s">
        <v>63</v>
      </c>
      <c r="D240" s="17" t="s">
        <v>363</v>
      </c>
      <c r="E240" s="178">
        <v>218531.96</v>
      </c>
      <c r="F240" s="178"/>
      <c r="G240" s="178">
        <f>E240</f>
        <v>218531.96</v>
      </c>
      <c r="H240" s="178">
        <v>318000</v>
      </c>
      <c r="I240" s="178"/>
      <c r="J240" s="178">
        <f>H240</f>
        <v>318000</v>
      </c>
      <c r="K240" s="178">
        <f>336000+140000</f>
        <v>476000</v>
      </c>
      <c r="L240" s="178"/>
      <c r="M240" s="204">
        <f>K240</f>
        <v>476000</v>
      </c>
    </row>
    <row r="241" spans="1:13" s="37" customFormat="1" ht="15" customHeight="1">
      <c r="A241" s="288"/>
      <c r="B241" s="290" t="s">
        <v>152</v>
      </c>
      <c r="C241" s="206"/>
      <c r="D241" s="17"/>
      <c r="E241" s="178"/>
      <c r="F241" s="178"/>
      <c r="G241" s="178"/>
      <c r="H241" s="204"/>
      <c r="I241" s="204"/>
      <c r="J241" s="204"/>
      <c r="K241" s="204"/>
      <c r="L241" s="204"/>
      <c r="M241" s="204"/>
    </row>
    <row r="242" spans="1:13" s="37" customFormat="1" ht="30" customHeight="1">
      <c r="A242" s="288"/>
      <c r="B242" s="134" t="s">
        <v>298</v>
      </c>
      <c r="C242" s="206"/>
      <c r="D242" s="481" t="s">
        <v>180</v>
      </c>
      <c r="E242" s="178">
        <v>1</v>
      </c>
      <c r="F242" s="178"/>
      <c r="G242" s="178">
        <f>E242</f>
        <v>1</v>
      </c>
      <c r="H242" s="204">
        <v>1</v>
      </c>
      <c r="I242" s="204"/>
      <c r="J242" s="204">
        <f>H242</f>
        <v>1</v>
      </c>
      <c r="K242" s="204">
        <v>1</v>
      </c>
      <c r="L242" s="204"/>
      <c r="M242" s="204">
        <f aca="true" t="shared" si="3" ref="M242:M247">K242</f>
        <v>1</v>
      </c>
    </row>
    <row r="243" spans="1:13" s="37" customFormat="1" ht="34.5" customHeight="1">
      <c r="A243" s="288"/>
      <c r="B243" s="286" t="s">
        <v>219</v>
      </c>
      <c r="C243" s="206" t="s">
        <v>153</v>
      </c>
      <c r="D243" s="481"/>
      <c r="E243" s="178">
        <v>35</v>
      </c>
      <c r="F243" s="178"/>
      <c r="G243" s="178">
        <f>E243</f>
        <v>35</v>
      </c>
      <c r="H243" s="204">
        <v>35</v>
      </c>
      <c r="I243" s="204"/>
      <c r="J243" s="204">
        <f>H243</f>
        <v>35</v>
      </c>
      <c r="K243" s="204">
        <v>35</v>
      </c>
      <c r="L243" s="204"/>
      <c r="M243" s="204">
        <f t="shared" si="3"/>
        <v>35</v>
      </c>
    </row>
    <row r="244" spans="1:13" s="37" customFormat="1" ht="27" customHeight="1">
      <c r="A244" s="288"/>
      <c r="B244" s="286" t="s">
        <v>220</v>
      </c>
      <c r="C244" s="206" t="s">
        <v>221</v>
      </c>
      <c r="D244" s="481"/>
      <c r="E244" s="178">
        <v>12</v>
      </c>
      <c r="F244" s="178"/>
      <c r="G244" s="178">
        <f>E244</f>
        <v>12</v>
      </c>
      <c r="H244" s="204">
        <v>12</v>
      </c>
      <c r="I244" s="204"/>
      <c r="J244" s="204">
        <f>H244</f>
        <v>12</v>
      </c>
      <c r="K244" s="204">
        <v>12</v>
      </c>
      <c r="L244" s="204"/>
      <c r="M244" s="204">
        <f t="shared" si="3"/>
        <v>12</v>
      </c>
    </row>
    <row r="245" spans="1:13" s="37" customFormat="1" ht="15">
      <c r="A245" s="288"/>
      <c r="B245" s="290" t="s">
        <v>154</v>
      </c>
      <c r="C245" s="206"/>
      <c r="D245" s="87"/>
      <c r="E245" s="178"/>
      <c r="F245" s="178"/>
      <c r="G245" s="178"/>
      <c r="H245" s="204"/>
      <c r="I245" s="204"/>
      <c r="J245" s="204"/>
      <c r="K245" s="204"/>
      <c r="L245" s="204"/>
      <c r="M245" s="204"/>
    </row>
    <row r="246" spans="1:13" s="37" customFormat="1" ht="30" customHeight="1">
      <c r="A246" s="288"/>
      <c r="B246" s="134" t="s">
        <v>299</v>
      </c>
      <c r="C246" s="206" t="s">
        <v>63</v>
      </c>
      <c r="D246" s="206" t="s">
        <v>109</v>
      </c>
      <c r="E246" s="178"/>
      <c r="F246" s="178"/>
      <c r="G246" s="178"/>
      <c r="H246" s="204">
        <v>60000</v>
      </c>
      <c r="I246" s="204"/>
      <c r="J246" s="204">
        <f>H246</f>
        <v>60000</v>
      </c>
      <c r="K246" s="204">
        <v>100000</v>
      </c>
      <c r="L246" s="204"/>
      <c r="M246" s="204">
        <f t="shared" si="3"/>
        <v>100000</v>
      </c>
    </row>
    <row r="247" spans="1:13" s="37" customFormat="1" ht="28.5" customHeight="1">
      <c r="A247" s="109"/>
      <c r="B247" s="286" t="s">
        <v>222</v>
      </c>
      <c r="C247" s="206" t="s">
        <v>63</v>
      </c>
      <c r="D247" s="206" t="s">
        <v>109</v>
      </c>
      <c r="E247" s="178">
        <f>E240/E243/E244</f>
        <v>520.3141904761904</v>
      </c>
      <c r="F247" s="178"/>
      <c r="G247" s="178">
        <f>E247</f>
        <v>520.3141904761904</v>
      </c>
      <c r="H247" s="204">
        <f>(H240-60000)/H243/H244</f>
        <v>614.2857142857143</v>
      </c>
      <c r="I247" s="204"/>
      <c r="J247" s="204">
        <f>H247</f>
        <v>614.2857142857143</v>
      </c>
      <c r="K247" s="204">
        <f>(K240-140000)/K243/K244</f>
        <v>800</v>
      </c>
      <c r="L247" s="204"/>
      <c r="M247" s="204">
        <f t="shared" si="3"/>
        <v>800</v>
      </c>
    </row>
    <row r="248" spans="1:13" s="15" customFormat="1" ht="25.5" customHeight="1" hidden="1">
      <c r="A248" s="173"/>
      <c r="B248" s="180"/>
      <c r="C248" s="475" t="s">
        <v>508</v>
      </c>
      <c r="D248" s="475"/>
      <c r="E248" s="475"/>
      <c r="F248" s="475"/>
      <c r="G248" s="475"/>
      <c r="H248" s="475"/>
      <c r="I248" s="475"/>
      <c r="J248" s="475"/>
      <c r="K248" s="475"/>
      <c r="L248" s="475"/>
      <c r="M248" s="90"/>
    </row>
    <row r="249" spans="1:13" s="15" customFormat="1" ht="25.5" customHeight="1">
      <c r="A249" s="173"/>
      <c r="B249" s="180" t="s">
        <v>51</v>
      </c>
      <c r="C249" s="475" t="s">
        <v>509</v>
      </c>
      <c r="D249" s="475"/>
      <c r="E249" s="475"/>
      <c r="F249" s="475"/>
      <c r="G249" s="475"/>
      <c r="H249" s="475"/>
      <c r="I249" s="475"/>
      <c r="J249" s="475"/>
      <c r="K249" s="475"/>
      <c r="L249" s="475"/>
      <c r="M249" s="90"/>
    </row>
    <row r="250" spans="1:13" s="15" customFormat="1" ht="16.5" customHeight="1">
      <c r="A250" s="174"/>
      <c r="B250" s="175" t="s">
        <v>150</v>
      </c>
      <c r="C250" s="91"/>
      <c r="D250" s="176"/>
      <c r="E250" s="476"/>
      <c r="F250" s="476"/>
      <c r="G250" s="177"/>
      <c r="H250" s="480"/>
      <c r="I250" s="480"/>
      <c r="J250" s="268"/>
      <c r="K250" s="476"/>
      <c r="L250" s="476"/>
      <c r="M250" s="90"/>
    </row>
    <row r="251" spans="1:13" s="15" customFormat="1" ht="43.5" customHeight="1">
      <c r="A251" s="174"/>
      <c r="B251" s="4" t="s">
        <v>151</v>
      </c>
      <c r="C251" s="91" t="s">
        <v>63</v>
      </c>
      <c r="D251" s="2" t="s">
        <v>216</v>
      </c>
      <c r="E251" s="178"/>
      <c r="F251" s="178"/>
      <c r="G251" s="178"/>
      <c r="H251" s="178">
        <v>64327.92</v>
      </c>
      <c r="I251" s="178"/>
      <c r="J251" s="178">
        <f>H251</f>
        <v>64327.92</v>
      </c>
      <c r="K251" s="178">
        <f>150000+45000</f>
        <v>195000</v>
      </c>
      <c r="L251" s="178"/>
      <c r="M251" s="414">
        <f>K251</f>
        <v>195000</v>
      </c>
    </row>
    <row r="252" spans="1:13" s="15" customFormat="1" ht="15" customHeight="1">
      <c r="A252" s="174"/>
      <c r="B252" s="175" t="s">
        <v>152</v>
      </c>
      <c r="C252" s="91"/>
      <c r="D252" s="2"/>
      <c r="E252" s="178"/>
      <c r="F252" s="178"/>
      <c r="G252" s="178"/>
      <c r="H252" s="204"/>
      <c r="I252" s="204"/>
      <c r="J252" s="178"/>
      <c r="K252" s="204"/>
      <c r="L252" s="204"/>
      <c r="M252" s="414"/>
    </row>
    <row r="253" spans="1:13" s="15" customFormat="1" ht="96" customHeight="1">
      <c r="A253" s="174"/>
      <c r="B253" s="4" t="s">
        <v>230</v>
      </c>
      <c r="C253" s="91" t="s">
        <v>153</v>
      </c>
      <c r="D253" s="14" t="s">
        <v>316</v>
      </c>
      <c r="E253" s="178"/>
      <c r="F253" s="178"/>
      <c r="G253" s="178"/>
      <c r="H253" s="204">
        <v>123</v>
      </c>
      <c r="I253" s="204"/>
      <c r="J253" s="178">
        <f>H253</f>
        <v>123</v>
      </c>
      <c r="K253" s="204">
        <v>85</v>
      </c>
      <c r="L253" s="204"/>
      <c r="M253" s="414">
        <f>K253</f>
        <v>85</v>
      </c>
    </row>
    <row r="254" spans="1:13" s="15" customFormat="1" ht="15">
      <c r="A254" s="174"/>
      <c r="B254" s="175" t="s">
        <v>154</v>
      </c>
      <c r="C254" s="91"/>
      <c r="D254" s="87"/>
      <c r="E254" s="178"/>
      <c r="F254" s="178"/>
      <c r="G254" s="178"/>
      <c r="H254" s="204"/>
      <c r="I254" s="204"/>
      <c r="J254" s="178"/>
      <c r="K254" s="204"/>
      <c r="L254" s="204"/>
      <c r="M254" s="414"/>
    </row>
    <row r="255" spans="1:13" s="15" customFormat="1" ht="28.5" customHeight="1">
      <c r="A255" s="73"/>
      <c r="B255" s="4" t="s">
        <v>231</v>
      </c>
      <c r="C255" s="91" t="s">
        <v>63</v>
      </c>
      <c r="D255" s="206" t="s">
        <v>109</v>
      </c>
      <c r="E255" s="178" t="e">
        <f>E251/E253</f>
        <v>#DIV/0!</v>
      </c>
      <c r="F255" s="178"/>
      <c r="G255" s="178"/>
      <c r="H255" s="204">
        <f>H251/H253</f>
        <v>522.9912195121951</v>
      </c>
      <c r="I255" s="204"/>
      <c r="J255" s="178">
        <f>H255</f>
        <v>522.9912195121951</v>
      </c>
      <c r="K255" s="204">
        <f>K251/K253</f>
        <v>2294.1176470588234</v>
      </c>
      <c r="L255" s="204"/>
      <c r="M255" s="414">
        <f>K255</f>
        <v>2294.1176470588234</v>
      </c>
    </row>
    <row r="256" spans="1:13" s="15" customFormat="1" ht="25.5" customHeight="1">
      <c r="A256" s="173"/>
      <c r="B256" s="180"/>
      <c r="C256" s="475" t="s">
        <v>314</v>
      </c>
      <c r="D256" s="475"/>
      <c r="E256" s="475"/>
      <c r="F256" s="475"/>
      <c r="G256" s="475"/>
      <c r="H256" s="475"/>
      <c r="I256" s="475"/>
      <c r="J256" s="475"/>
      <c r="K256" s="475"/>
      <c r="L256" s="475"/>
      <c r="M256" s="90"/>
    </row>
    <row r="257" spans="1:13" s="15" customFormat="1" ht="25.5" customHeight="1">
      <c r="A257" s="173"/>
      <c r="B257" s="180" t="s">
        <v>51</v>
      </c>
      <c r="C257" s="475" t="s">
        <v>232</v>
      </c>
      <c r="D257" s="475"/>
      <c r="E257" s="475"/>
      <c r="F257" s="475"/>
      <c r="G257" s="475"/>
      <c r="H257" s="475"/>
      <c r="I257" s="475"/>
      <c r="J257" s="475"/>
      <c r="K257" s="475"/>
      <c r="L257" s="475"/>
      <c r="M257" s="90"/>
    </row>
    <row r="258" spans="1:13" s="15" customFormat="1" ht="16.5" customHeight="1">
      <c r="A258" s="174"/>
      <c r="B258" s="175" t="s">
        <v>150</v>
      </c>
      <c r="C258" s="91"/>
      <c r="D258" s="176"/>
      <c r="E258" s="476"/>
      <c r="F258" s="476"/>
      <c r="G258" s="177"/>
      <c r="H258" s="480"/>
      <c r="I258" s="480"/>
      <c r="J258" s="268"/>
      <c r="K258" s="476"/>
      <c r="L258" s="476"/>
      <c r="M258" s="90"/>
    </row>
    <row r="259" spans="1:13" s="15" customFormat="1" ht="43.5" customHeight="1">
      <c r="A259" s="174"/>
      <c r="B259" s="4" t="s">
        <v>151</v>
      </c>
      <c r="C259" s="91" t="s">
        <v>63</v>
      </c>
      <c r="D259" s="2" t="s">
        <v>453</v>
      </c>
      <c r="E259" s="178">
        <f>664640.56</f>
        <v>664640.56</v>
      </c>
      <c r="F259" s="178"/>
      <c r="G259" s="178">
        <f>E259</f>
        <v>664640.56</v>
      </c>
      <c r="H259" s="178"/>
      <c r="I259" s="178"/>
      <c r="J259" s="178"/>
      <c r="K259" s="178"/>
      <c r="L259" s="178"/>
      <c r="M259" s="90"/>
    </row>
    <row r="260" spans="1:13" s="15" customFormat="1" ht="15" customHeight="1">
      <c r="A260" s="174"/>
      <c r="B260" s="175" t="s">
        <v>152</v>
      </c>
      <c r="C260" s="91"/>
      <c r="D260" s="2"/>
      <c r="E260" s="178"/>
      <c r="F260" s="178"/>
      <c r="G260" s="178"/>
      <c r="H260" s="204"/>
      <c r="I260" s="204"/>
      <c r="J260" s="204"/>
      <c r="K260" s="204"/>
      <c r="L260" s="204"/>
      <c r="M260" s="90"/>
    </row>
    <row r="261" spans="1:13" s="15" customFormat="1" ht="96" customHeight="1">
      <c r="A261" s="174"/>
      <c r="B261" s="4" t="s">
        <v>233</v>
      </c>
      <c r="C261" s="91" t="s">
        <v>153</v>
      </c>
      <c r="D261" s="14" t="s">
        <v>454</v>
      </c>
      <c r="E261" s="178">
        <v>410</v>
      </c>
      <c r="F261" s="178"/>
      <c r="G261" s="178">
        <f>E261</f>
        <v>410</v>
      </c>
      <c r="H261" s="204"/>
      <c r="I261" s="204"/>
      <c r="J261" s="204"/>
      <c r="K261" s="204"/>
      <c r="L261" s="204"/>
      <c r="M261" s="90"/>
    </row>
    <row r="262" spans="1:13" s="15" customFormat="1" ht="29.25" customHeight="1">
      <c r="A262" s="195"/>
      <c r="B262" s="4" t="s">
        <v>213</v>
      </c>
      <c r="C262" s="91" t="s">
        <v>215</v>
      </c>
      <c r="D262" s="14"/>
      <c r="E262" s="178">
        <v>12</v>
      </c>
      <c r="F262" s="178"/>
      <c r="G262" s="178">
        <f>E262</f>
        <v>12</v>
      </c>
      <c r="H262" s="178"/>
      <c r="I262" s="178"/>
      <c r="J262" s="178"/>
      <c r="K262" s="178"/>
      <c r="L262" s="178"/>
      <c r="M262" s="90"/>
    </row>
    <row r="263" spans="1:13" s="15" customFormat="1" ht="15">
      <c r="A263" s="174"/>
      <c r="B263" s="175" t="s">
        <v>154</v>
      </c>
      <c r="C263" s="91"/>
      <c r="D263" s="87"/>
      <c r="E263" s="178"/>
      <c r="F263" s="178"/>
      <c r="G263" s="178"/>
      <c r="H263" s="204"/>
      <c r="I263" s="204"/>
      <c r="J263" s="204"/>
      <c r="K263" s="204"/>
      <c r="L263" s="204"/>
      <c r="M263" s="90"/>
    </row>
    <row r="264" spans="1:13" s="15" customFormat="1" ht="28.5" customHeight="1">
      <c r="A264" s="73"/>
      <c r="B264" s="4" t="s">
        <v>234</v>
      </c>
      <c r="C264" s="91" t="s">
        <v>63</v>
      </c>
      <c r="D264" s="206" t="s">
        <v>109</v>
      </c>
      <c r="E264" s="178">
        <f>E259/E261</f>
        <v>1621.0745365853659</v>
      </c>
      <c r="F264" s="178"/>
      <c r="G264" s="178">
        <f>E264</f>
        <v>1621.0745365853659</v>
      </c>
      <c r="H264" s="204" t="e">
        <f>H259/H261/H262</f>
        <v>#DIV/0!</v>
      </c>
      <c r="I264" s="204"/>
      <c r="J264" s="204"/>
      <c r="K264" s="204" t="e">
        <f>K259/K261</f>
        <v>#DIV/0!</v>
      </c>
      <c r="L264" s="204"/>
      <c r="M264" s="90"/>
    </row>
    <row r="265" spans="1:13" s="15" customFormat="1" ht="25.5" customHeight="1">
      <c r="A265" s="173"/>
      <c r="B265" s="180" t="s">
        <v>51</v>
      </c>
      <c r="C265" s="475" t="s">
        <v>235</v>
      </c>
      <c r="D265" s="475"/>
      <c r="E265" s="475"/>
      <c r="F265" s="475"/>
      <c r="G265" s="475"/>
      <c r="H265" s="475"/>
      <c r="I265" s="475"/>
      <c r="J265" s="475"/>
      <c r="K265" s="475"/>
      <c r="L265" s="475"/>
      <c r="M265" s="90"/>
    </row>
    <row r="266" spans="1:13" s="15" customFormat="1" ht="16.5" customHeight="1">
      <c r="A266" s="174"/>
      <c r="B266" s="175" t="s">
        <v>150</v>
      </c>
      <c r="C266" s="91"/>
      <c r="D266" s="176"/>
      <c r="E266" s="476"/>
      <c r="F266" s="476"/>
      <c r="G266" s="177"/>
      <c r="H266" s="480"/>
      <c r="I266" s="480"/>
      <c r="J266" s="268"/>
      <c r="K266" s="476"/>
      <c r="L266" s="476"/>
      <c r="M266" s="90"/>
    </row>
    <row r="267" spans="1:13" s="15" customFormat="1" ht="43.5" customHeight="1">
      <c r="A267" s="174"/>
      <c r="B267" s="4" t="s">
        <v>151</v>
      </c>
      <c r="C267" s="91" t="s">
        <v>63</v>
      </c>
      <c r="D267" s="2" t="s">
        <v>455</v>
      </c>
      <c r="E267" s="178">
        <f>50834.24</f>
        <v>50834.24</v>
      </c>
      <c r="F267" s="178"/>
      <c r="G267" s="178">
        <f>E267</f>
        <v>50834.24</v>
      </c>
      <c r="H267" s="178">
        <v>90000</v>
      </c>
      <c r="I267" s="178"/>
      <c r="J267" s="178">
        <f>H267</f>
        <v>90000</v>
      </c>
      <c r="K267" s="178"/>
      <c r="L267" s="178"/>
      <c r="M267" s="90"/>
    </row>
    <row r="268" spans="1:13" s="15" customFormat="1" ht="15" customHeight="1">
      <c r="A268" s="174"/>
      <c r="B268" s="175" t="s">
        <v>152</v>
      </c>
      <c r="C268" s="91"/>
      <c r="D268" s="2"/>
      <c r="E268" s="178"/>
      <c r="F268" s="178"/>
      <c r="G268" s="178"/>
      <c r="H268" s="204"/>
      <c r="I268" s="204"/>
      <c r="J268" s="178"/>
      <c r="K268" s="204"/>
      <c r="L268" s="204"/>
      <c r="M268" s="90"/>
    </row>
    <row r="269" spans="1:13" s="15" customFormat="1" ht="96" customHeight="1">
      <c r="A269" s="174"/>
      <c r="B269" s="4" t="s">
        <v>236</v>
      </c>
      <c r="C269" s="91" t="s">
        <v>153</v>
      </c>
      <c r="D269" s="14" t="s">
        <v>316</v>
      </c>
      <c r="E269" s="178">
        <v>500</v>
      </c>
      <c r="F269" s="178"/>
      <c r="G269" s="178">
        <f>E269</f>
        <v>500</v>
      </c>
      <c r="H269" s="204">
        <v>500</v>
      </c>
      <c r="I269" s="204"/>
      <c r="J269" s="178">
        <f>H269</f>
        <v>500</v>
      </c>
      <c r="K269" s="204"/>
      <c r="L269" s="204"/>
      <c r="M269" s="90"/>
    </row>
    <row r="270" spans="1:13" s="15" customFormat="1" ht="29.25" customHeight="1">
      <c r="A270" s="195"/>
      <c r="B270" s="4" t="s">
        <v>213</v>
      </c>
      <c r="C270" s="91" t="s">
        <v>215</v>
      </c>
      <c r="D270" s="14"/>
      <c r="E270" s="178">
        <v>12</v>
      </c>
      <c r="F270" s="178"/>
      <c r="G270" s="178">
        <f>E270</f>
        <v>12</v>
      </c>
      <c r="H270" s="178">
        <v>12</v>
      </c>
      <c r="I270" s="178"/>
      <c r="J270" s="178">
        <f>H270</f>
        <v>12</v>
      </c>
      <c r="K270" s="178"/>
      <c r="L270" s="178"/>
      <c r="M270" s="90"/>
    </row>
    <row r="271" spans="1:13" s="15" customFormat="1" ht="15">
      <c r="A271" s="174"/>
      <c r="B271" s="175" t="s">
        <v>154</v>
      </c>
      <c r="C271" s="91"/>
      <c r="D271" s="87"/>
      <c r="E271" s="178"/>
      <c r="F271" s="178"/>
      <c r="G271" s="178"/>
      <c r="H271" s="204"/>
      <c r="I271" s="204"/>
      <c r="J271" s="178"/>
      <c r="K271" s="204"/>
      <c r="L271" s="204"/>
      <c r="M271" s="90"/>
    </row>
    <row r="272" spans="1:13" s="15" customFormat="1" ht="28.5" customHeight="1">
      <c r="A272" s="73"/>
      <c r="B272" s="4" t="s">
        <v>237</v>
      </c>
      <c r="C272" s="91" t="s">
        <v>63</v>
      </c>
      <c r="D272" s="206" t="s">
        <v>109</v>
      </c>
      <c r="E272" s="178">
        <f>E267/E269/E270</f>
        <v>8.472373333333334</v>
      </c>
      <c r="F272" s="178"/>
      <c r="G272" s="178">
        <f>E272</f>
        <v>8.472373333333334</v>
      </c>
      <c r="H272" s="204">
        <f>H267/H269/H270</f>
        <v>15</v>
      </c>
      <c r="I272" s="204"/>
      <c r="J272" s="178">
        <f>H272</f>
        <v>15</v>
      </c>
      <c r="K272" s="204" t="e">
        <f>K267/K269</f>
        <v>#DIV/0!</v>
      </c>
      <c r="L272" s="204"/>
      <c r="M272" s="90"/>
    </row>
    <row r="273" spans="1:13" s="15" customFormat="1" ht="25.5" customHeight="1">
      <c r="A273" s="173"/>
      <c r="B273" s="180" t="s">
        <v>51</v>
      </c>
      <c r="C273" s="475" t="s">
        <v>238</v>
      </c>
      <c r="D273" s="475"/>
      <c r="E273" s="475"/>
      <c r="F273" s="475"/>
      <c r="G273" s="475"/>
      <c r="H273" s="475"/>
      <c r="I273" s="475"/>
      <c r="J273" s="475"/>
      <c r="K273" s="475"/>
      <c r="L273" s="475"/>
      <c r="M273" s="90"/>
    </row>
    <row r="274" spans="1:13" s="15" customFormat="1" ht="16.5" customHeight="1">
      <c r="A274" s="174"/>
      <c r="B274" s="175" t="s">
        <v>150</v>
      </c>
      <c r="C274" s="91"/>
      <c r="D274" s="176"/>
      <c r="E274" s="476"/>
      <c r="F274" s="476"/>
      <c r="G274" s="177"/>
      <c r="H274" s="480"/>
      <c r="I274" s="480"/>
      <c r="J274" s="268"/>
      <c r="K274" s="476"/>
      <c r="L274" s="476"/>
      <c r="M274" s="90"/>
    </row>
    <row r="275" spans="1:13" s="15" customFormat="1" ht="43.5" customHeight="1">
      <c r="A275" s="174"/>
      <c r="B275" s="4" t="s">
        <v>151</v>
      </c>
      <c r="C275" s="91" t="s">
        <v>63</v>
      </c>
      <c r="D275" s="2" t="s">
        <v>363</v>
      </c>
      <c r="E275" s="178">
        <v>117370.2</v>
      </c>
      <c r="F275" s="178"/>
      <c r="G275" s="178">
        <f>E275</f>
        <v>117370.2</v>
      </c>
      <c r="H275" s="178">
        <v>343680</v>
      </c>
      <c r="I275" s="178"/>
      <c r="J275" s="178">
        <f>H275</f>
        <v>343680</v>
      </c>
      <c r="K275" s="178">
        <v>384000</v>
      </c>
      <c r="L275" s="178"/>
      <c r="M275" s="414">
        <f>K275</f>
        <v>384000</v>
      </c>
    </row>
    <row r="276" spans="1:13" s="15" customFormat="1" ht="15" customHeight="1">
      <c r="A276" s="174"/>
      <c r="B276" s="175" t="s">
        <v>152</v>
      </c>
      <c r="C276" s="91"/>
      <c r="D276" s="2"/>
      <c r="E276" s="178"/>
      <c r="F276" s="178"/>
      <c r="G276" s="178"/>
      <c r="H276" s="204"/>
      <c r="I276" s="204"/>
      <c r="J276" s="204"/>
      <c r="K276" s="204"/>
      <c r="L276" s="204"/>
      <c r="M276" s="90"/>
    </row>
    <row r="277" spans="1:13" s="15" customFormat="1" ht="96" customHeight="1">
      <c r="A277" s="174"/>
      <c r="B277" s="4" t="s">
        <v>239</v>
      </c>
      <c r="C277" s="91" t="s">
        <v>153</v>
      </c>
      <c r="D277" s="14" t="s">
        <v>450</v>
      </c>
      <c r="E277" s="178">
        <v>420</v>
      </c>
      <c r="F277" s="178"/>
      <c r="G277" s="178">
        <f>E277</f>
        <v>420</v>
      </c>
      <c r="H277" s="204">
        <v>563</v>
      </c>
      <c r="I277" s="204"/>
      <c r="J277" s="204">
        <f>H277</f>
        <v>563</v>
      </c>
      <c r="K277" s="204">
        <v>800</v>
      </c>
      <c r="L277" s="204"/>
      <c r="M277" s="414">
        <f>K277</f>
        <v>800</v>
      </c>
    </row>
    <row r="278" spans="1:13" s="15" customFormat="1" ht="29.25" customHeight="1">
      <c r="A278" s="195"/>
      <c r="B278" s="4" t="s">
        <v>213</v>
      </c>
      <c r="C278" s="91" t="s">
        <v>215</v>
      </c>
      <c r="D278" s="14"/>
      <c r="E278" s="178">
        <v>9</v>
      </c>
      <c r="F278" s="178"/>
      <c r="G278" s="197">
        <f>E278</f>
        <v>9</v>
      </c>
      <c r="H278" s="178">
        <v>12</v>
      </c>
      <c r="I278" s="178"/>
      <c r="J278" s="178">
        <f>H278</f>
        <v>12</v>
      </c>
      <c r="K278" s="178">
        <v>12</v>
      </c>
      <c r="L278" s="178"/>
      <c r="M278" s="414">
        <f>K278</f>
        <v>12</v>
      </c>
    </row>
    <row r="279" spans="1:13" s="15" customFormat="1" ht="15">
      <c r="A279" s="174"/>
      <c r="B279" s="175" t="s">
        <v>154</v>
      </c>
      <c r="C279" s="91"/>
      <c r="D279" s="87"/>
      <c r="E279" s="178"/>
      <c r="F279" s="178"/>
      <c r="G279" s="178"/>
      <c r="H279" s="204"/>
      <c r="I279" s="204"/>
      <c r="J279" s="204"/>
      <c r="K279" s="204"/>
      <c r="L279" s="204"/>
      <c r="M279" s="90"/>
    </row>
    <row r="280" spans="1:13" s="15" customFormat="1" ht="28.5" customHeight="1">
      <c r="A280" s="73"/>
      <c r="B280" s="4" t="s">
        <v>222</v>
      </c>
      <c r="C280" s="91" t="s">
        <v>63</v>
      </c>
      <c r="D280" s="206" t="s">
        <v>109</v>
      </c>
      <c r="E280" s="178">
        <f>E275/E277/E278</f>
        <v>31.05031746031746</v>
      </c>
      <c r="F280" s="178"/>
      <c r="G280" s="178">
        <f>E280</f>
        <v>31.05031746031746</v>
      </c>
      <c r="H280" s="204">
        <f>H275/H277/H278</f>
        <v>50.87033747779751</v>
      </c>
      <c r="I280" s="204"/>
      <c r="J280" s="204">
        <f>H280</f>
        <v>50.87033747779751</v>
      </c>
      <c r="K280" s="204">
        <f>K275/K277/K278</f>
        <v>40</v>
      </c>
      <c r="L280" s="204"/>
      <c r="M280" s="414">
        <f>K280</f>
        <v>40</v>
      </c>
    </row>
    <row r="281" spans="1:13" s="15" customFormat="1" ht="25.5" customHeight="1">
      <c r="A281" s="173"/>
      <c r="B281" s="180" t="s">
        <v>51</v>
      </c>
      <c r="C281" s="475" t="s">
        <v>240</v>
      </c>
      <c r="D281" s="475"/>
      <c r="E281" s="475"/>
      <c r="F281" s="475"/>
      <c r="G281" s="475"/>
      <c r="H281" s="475"/>
      <c r="I281" s="475"/>
      <c r="J281" s="475"/>
      <c r="K281" s="475"/>
      <c r="L281" s="475"/>
      <c r="M281" s="90"/>
    </row>
    <row r="282" spans="1:13" s="15" customFormat="1" ht="16.5" customHeight="1">
      <c r="A282" s="174"/>
      <c r="B282" s="175" t="s">
        <v>150</v>
      </c>
      <c r="C282" s="91"/>
      <c r="D282" s="176"/>
      <c r="E282" s="476"/>
      <c r="F282" s="476"/>
      <c r="G282" s="177"/>
      <c r="H282" s="480"/>
      <c r="I282" s="480"/>
      <c r="J282" s="268"/>
      <c r="K282" s="476"/>
      <c r="L282" s="476"/>
      <c r="M282" s="90"/>
    </row>
    <row r="283" spans="1:13" s="15" customFormat="1" ht="43.5" customHeight="1">
      <c r="A283" s="174"/>
      <c r="B283" s="4" t="s">
        <v>151</v>
      </c>
      <c r="C283" s="91" t="s">
        <v>63</v>
      </c>
      <c r="D283" s="2" t="s">
        <v>363</v>
      </c>
      <c r="E283" s="178">
        <v>6839.89</v>
      </c>
      <c r="F283" s="178"/>
      <c r="G283" s="178">
        <f>E283</f>
        <v>6839.89</v>
      </c>
      <c r="H283" s="178">
        <v>18000</v>
      </c>
      <c r="I283" s="178"/>
      <c r="J283" s="178">
        <f>H283</f>
        <v>18000</v>
      </c>
      <c r="K283" s="178">
        <v>205860</v>
      </c>
      <c r="L283" s="178"/>
      <c r="M283" s="414">
        <f>K283</f>
        <v>205860</v>
      </c>
    </row>
    <row r="284" spans="1:13" s="15" customFormat="1" ht="15" customHeight="1">
      <c r="A284" s="174"/>
      <c r="B284" s="175" t="s">
        <v>152</v>
      </c>
      <c r="C284" s="91"/>
      <c r="D284" s="2"/>
      <c r="E284" s="178"/>
      <c r="F284" s="178"/>
      <c r="G284" s="178"/>
      <c r="H284" s="204"/>
      <c r="I284" s="204"/>
      <c r="J284" s="204"/>
      <c r="K284" s="204"/>
      <c r="L284" s="204"/>
      <c r="M284" s="90"/>
    </row>
    <row r="285" spans="1:13" s="15" customFormat="1" ht="96" customHeight="1">
      <c r="A285" s="174"/>
      <c r="B285" s="4" t="s">
        <v>241</v>
      </c>
      <c r="C285" s="91" t="s">
        <v>153</v>
      </c>
      <c r="D285" s="14" t="s">
        <v>180</v>
      </c>
      <c r="E285" s="178">
        <v>30</v>
      </c>
      <c r="F285" s="178"/>
      <c r="G285" s="178">
        <f>E285</f>
        <v>30</v>
      </c>
      <c r="H285" s="204">
        <v>30</v>
      </c>
      <c r="I285" s="204"/>
      <c r="J285" s="204">
        <f>H285</f>
        <v>30</v>
      </c>
      <c r="K285" s="204">
        <v>146</v>
      </c>
      <c r="L285" s="204"/>
      <c r="M285" s="414">
        <f>K285</f>
        <v>146</v>
      </c>
    </row>
    <row r="286" spans="1:13" s="15" customFormat="1" ht="29.25" customHeight="1">
      <c r="A286" s="195"/>
      <c r="B286" s="4" t="s">
        <v>213</v>
      </c>
      <c r="C286" s="91" t="s">
        <v>215</v>
      </c>
      <c r="D286" s="14"/>
      <c r="E286" s="178">
        <v>9</v>
      </c>
      <c r="F286" s="178"/>
      <c r="G286" s="197">
        <f>E286</f>
        <v>9</v>
      </c>
      <c r="H286" s="178">
        <v>12</v>
      </c>
      <c r="I286" s="178"/>
      <c r="J286" s="178">
        <f>H286</f>
        <v>12</v>
      </c>
      <c r="K286" s="178">
        <v>12</v>
      </c>
      <c r="L286" s="178"/>
      <c r="M286" s="414">
        <f>K286</f>
        <v>12</v>
      </c>
    </row>
    <row r="287" spans="1:13" s="15" customFormat="1" ht="15">
      <c r="A287" s="174"/>
      <c r="B287" s="175" t="s">
        <v>154</v>
      </c>
      <c r="C287" s="91"/>
      <c r="D287" s="87"/>
      <c r="E287" s="178"/>
      <c r="F287" s="178"/>
      <c r="G287" s="178"/>
      <c r="H287" s="204"/>
      <c r="I287" s="204"/>
      <c r="J287" s="204"/>
      <c r="K287" s="204"/>
      <c r="L287" s="204"/>
      <c r="M287" s="90"/>
    </row>
    <row r="288" spans="1:13" s="15" customFormat="1" ht="28.5" customHeight="1">
      <c r="A288" s="73"/>
      <c r="B288" s="4" t="s">
        <v>242</v>
      </c>
      <c r="C288" s="91" t="s">
        <v>63</v>
      </c>
      <c r="D288" s="206" t="s">
        <v>109</v>
      </c>
      <c r="E288" s="178">
        <f>E283/E285/E286</f>
        <v>25.332925925925927</v>
      </c>
      <c r="F288" s="178"/>
      <c r="G288" s="178">
        <f>E288</f>
        <v>25.332925925925927</v>
      </c>
      <c r="H288" s="204">
        <f>H283/H285/H286</f>
        <v>50</v>
      </c>
      <c r="I288" s="204"/>
      <c r="J288" s="204">
        <f>H288</f>
        <v>50</v>
      </c>
      <c r="K288" s="204">
        <f>K283/K285/K286</f>
        <v>117.5</v>
      </c>
      <c r="L288" s="204"/>
      <c r="M288" s="414">
        <f>K288</f>
        <v>117.5</v>
      </c>
    </row>
    <row r="289" spans="1:13" s="15" customFormat="1" ht="25.5" customHeight="1">
      <c r="A289" s="173"/>
      <c r="B289" s="180"/>
      <c r="C289" s="475" t="s">
        <v>243</v>
      </c>
      <c r="D289" s="475"/>
      <c r="E289" s="475"/>
      <c r="F289" s="475"/>
      <c r="G289" s="475"/>
      <c r="H289" s="475"/>
      <c r="I289" s="475"/>
      <c r="J289" s="475"/>
      <c r="K289" s="475"/>
      <c r="L289" s="475"/>
      <c r="M289" s="90"/>
    </row>
    <row r="290" spans="1:13" s="15" customFormat="1" ht="25.5" customHeight="1">
      <c r="A290" s="173"/>
      <c r="B290" s="180" t="s">
        <v>51</v>
      </c>
      <c r="C290" s="475" t="s">
        <v>244</v>
      </c>
      <c r="D290" s="475"/>
      <c r="E290" s="475"/>
      <c r="F290" s="475"/>
      <c r="G290" s="475"/>
      <c r="H290" s="475"/>
      <c r="I290" s="475"/>
      <c r="J290" s="475"/>
      <c r="K290" s="475"/>
      <c r="L290" s="475"/>
      <c r="M290" s="90"/>
    </row>
    <row r="291" spans="1:13" s="15" customFormat="1" ht="16.5" customHeight="1">
      <c r="A291" s="174"/>
      <c r="B291" s="175" t="s">
        <v>150</v>
      </c>
      <c r="C291" s="91"/>
      <c r="D291" s="176"/>
      <c r="E291" s="476"/>
      <c r="F291" s="476"/>
      <c r="G291" s="177"/>
      <c r="H291" s="480"/>
      <c r="I291" s="480"/>
      <c r="J291" s="268"/>
      <c r="K291" s="476"/>
      <c r="L291" s="476"/>
      <c r="M291" s="90"/>
    </row>
    <row r="292" spans="1:13" s="15" customFormat="1" ht="43.5" customHeight="1">
      <c r="A292" s="174"/>
      <c r="B292" s="4" t="s">
        <v>151</v>
      </c>
      <c r="C292" s="91" t="s">
        <v>63</v>
      </c>
      <c r="D292" s="2" t="s">
        <v>363</v>
      </c>
      <c r="E292" s="178">
        <v>35140.03</v>
      </c>
      <c r="F292" s="178"/>
      <c r="G292" s="178">
        <f>E292</f>
        <v>35140.03</v>
      </c>
      <c r="H292" s="178">
        <v>36000</v>
      </c>
      <c r="I292" s="178"/>
      <c r="J292" s="178">
        <f>H292</f>
        <v>36000</v>
      </c>
      <c r="K292" s="178">
        <v>48000</v>
      </c>
      <c r="L292" s="178"/>
      <c r="M292" s="414">
        <f>K292</f>
        <v>48000</v>
      </c>
    </row>
    <row r="293" spans="1:13" s="15" customFormat="1" ht="15" customHeight="1">
      <c r="A293" s="174"/>
      <c r="B293" s="175" t="s">
        <v>152</v>
      </c>
      <c r="C293" s="91"/>
      <c r="D293" s="2"/>
      <c r="E293" s="178"/>
      <c r="F293" s="178"/>
      <c r="G293" s="178"/>
      <c r="H293" s="204"/>
      <c r="I293" s="204"/>
      <c r="J293" s="204"/>
      <c r="K293" s="204"/>
      <c r="L293" s="204"/>
      <c r="M293" s="90"/>
    </row>
    <row r="294" spans="1:13" s="15" customFormat="1" ht="96" customHeight="1">
      <c r="A294" s="174"/>
      <c r="B294" s="4" t="s">
        <v>245</v>
      </c>
      <c r="C294" s="91" t="s">
        <v>153</v>
      </c>
      <c r="D294" s="14" t="s">
        <v>180</v>
      </c>
      <c r="E294" s="178">
        <v>300</v>
      </c>
      <c r="F294" s="178"/>
      <c r="G294" s="178">
        <f>E294</f>
        <v>300</v>
      </c>
      <c r="H294" s="204">
        <v>300</v>
      </c>
      <c r="I294" s="204"/>
      <c r="J294" s="204">
        <f>H294</f>
        <v>300</v>
      </c>
      <c r="K294" s="204">
        <v>480</v>
      </c>
      <c r="L294" s="204"/>
      <c r="M294" s="414">
        <f>K294</f>
        <v>480</v>
      </c>
    </row>
    <row r="295" spans="1:13" s="15" customFormat="1" ht="15">
      <c r="A295" s="174"/>
      <c r="B295" s="175" t="s">
        <v>154</v>
      </c>
      <c r="C295" s="91"/>
      <c r="D295" s="87"/>
      <c r="E295" s="178"/>
      <c r="F295" s="178"/>
      <c r="G295" s="178"/>
      <c r="H295" s="204"/>
      <c r="I295" s="204"/>
      <c r="J295" s="204"/>
      <c r="K295" s="204"/>
      <c r="L295" s="204"/>
      <c r="M295" s="90"/>
    </row>
    <row r="296" spans="1:13" s="15" customFormat="1" ht="28.5" customHeight="1">
      <c r="A296" s="73"/>
      <c r="B296" s="4" t="s">
        <v>246</v>
      </c>
      <c r="C296" s="91" t="s">
        <v>63</v>
      </c>
      <c r="D296" s="206" t="s">
        <v>109</v>
      </c>
      <c r="E296" s="178">
        <f>E292/E294</f>
        <v>117.13343333333333</v>
      </c>
      <c r="F296" s="178"/>
      <c r="G296" s="178">
        <f>E296</f>
        <v>117.13343333333333</v>
      </c>
      <c r="H296" s="204">
        <f>H292/H294</f>
        <v>120</v>
      </c>
      <c r="I296" s="204"/>
      <c r="J296" s="204">
        <f>H296</f>
        <v>120</v>
      </c>
      <c r="K296" s="204">
        <f>K292/K294</f>
        <v>100</v>
      </c>
      <c r="L296" s="204"/>
      <c r="M296" s="414">
        <f>K296</f>
        <v>100</v>
      </c>
    </row>
    <row r="297" spans="1:13" s="15" customFormat="1" ht="25.5" customHeight="1">
      <c r="A297" s="173"/>
      <c r="B297" s="180" t="s">
        <v>51</v>
      </c>
      <c r="C297" s="475" t="s">
        <v>247</v>
      </c>
      <c r="D297" s="475"/>
      <c r="E297" s="475"/>
      <c r="F297" s="475"/>
      <c r="G297" s="475"/>
      <c r="H297" s="475"/>
      <c r="I297" s="475"/>
      <c r="J297" s="475"/>
      <c r="K297" s="475"/>
      <c r="L297" s="475"/>
      <c r="M297" s="90"/>
    </row>
    <row r="298" spans="1:13" s="15" customFormat="1" ht="16.5" customHeight="1">
      <c r="A298" s="174"/>
      <c r="B298" s="175" t="s">
        <v>150</v>
      </c>
      <c r="C298" s="91"/>
      <c r="D298" s="176"/>
      <c r="E298" s="476"/>
      <c r="F298" s="476"/>
      <c r="G298" s="177"/>
      <c r="H298" s="480"/>
      <c r="I298" s="480"/>
      <c r="J298" s="268"/>
      <c r="K298" s="476"/>
      <c r="L298" s="476"/>
      <c r="M298" s="90"/>
    </row>
    <row r="299" spans="1:13" s="15" customFormat="1" ht="43.5" customHeight="1">
      <c r="A299" s="174"/>
      <c r="B299" s="4" t="s">
        <v>151</v>
      </c>
      <c r="C299" s="91" t="s">
        <v>63</v>
      </c>
      <c r="D299" s="2" t="s">
        <v>453</v>
      </c>
      <c r="E299" s="178">
        <v>129248.55</v>
      </c>
      <c r="F299" s="178"/>
      <c r="G299" s="178">
        <f>E299</f>
        <v>129248.55</v>
      </c>
      <c r="H299" s="178"/>
      <c r="I299" s="178"/>
      <c r="J299" s="178"/>
      <c r="K299" s="178"/>
      <c r="L299" s="178"/>
      <c r="M299" s="90"/>
    </row>
    <row r="300" spans="1:13" s="15" customFormat="1" ht="15" customHeight="1">
      <c r="A300" s="174"/>
      <c r="B300" s="175" t="s">
        <v>152</v>
      </c>
      <c r="C300" s="91"/>
      <c r="D300" s="2"/>
      <c r="E300" s="178"/>
      <c r="F300" s="178"/>
      <c r="G300" s="178"/>
      <c r="H300" s="204"/>
      <c r="I300" s="204"/>
      <c r="J300" s="204"/>
      <c r="K300" s="204"/>
      <c r="L300" s="204"/>
      <c r="M300" s="90"/>
    </row>
    <row r="301" spans="1:13" s="15" customFormat="1" ht="96" customHeight="1">
      <c r="A301" s="174"/>
      <c r="B301" s="4" t="s">
        <v>248</v>
      </c>
      <c r="C301" s="91" t="s">
        <v>153</v>
      </c>
      <c r="D301" s="14" t="s">
        <v>456</v>
      </c>
      <c r="E301" s="178">
        <v>30</v>
      </c>
      <c r="F301" s="178"/>
      <c r="G301" s="178">
        <f>E301</f>
        <v>30</v>
      </c>
      <c r="H301" s="204"/>
      <c r="I301" s="204"/>
      <c r="J301" s="204"/>
      <c r="K301" s="204"/>
      <c r="L301" s="204"/>
      <c r="M301" s="90"/>
    </row>
    <row r="302" spans="1:13" s="15" customFormat="1" ht="29.25" customHeight="1">
      <c r="A302" s="195"/>
      <c r="B302" s="4" t="s">
        <v>250</v>
      </c>
      <c r="C302" s="91" t="s">
        <v>215</v>
      </c>
      <c r="D302" s="14"/>
      <c r="E302" s="178">
        <v>9</v>
      </c>
      <c r="F302" s="178"/>
      <c r="G302" s="197">
        <f>E302</f>
        <v>9</v>
      </c>
      <c r="H302" s="178"/>
      <c r="I302" s="178"/>
      <c r="J302" s="178"/>
      <c r="K302" s="178"/>
      <c r="L302" s="178"/>
      <c r="M302" s="90"/>
    </row>
    <row r="303" spans="1:13" s="15" customFormat="1" ht="15">
      <c r="A303" s="174"/>
      <c r="B303" s="175" t="s">
        <v>154</v>
      </c>
      <c r="C303" s="91"/>
      <c r="D303" s="87"/>
      <c r="E303" s="178"/>
      <c r="F303" s="178"/>
      <c r="G303" s="178"/>
      <c r="H303" s="204"/>
      <c r="I303" s="204"/>
      <c r="J303" s="204"/>
      <c r="K303" s="204"/>
      <c r="L303" s="204"/>
      <c r="M303" s="90"/>
    </row>
    <row r="304" spans="1:13" s="15" customFormat="1" ht="28.5" customHeight="1">
      <c r="A304" s="73"/>
      <c r="B304" s="4" t="s">
        <v>249</v>
      </c>
      <c r="C304" s="91" t="s">
        <v>63</v>
      </c>
      <c r="D304" s="206" t="s">
        <v>109</v>
      </c>
      <c r="E304" s="178">
        <f>E299/E301/E302</f>
        <v>478.6983333333333</v>
      </c>
      <c r="F304" s="178"/>
      <c r="G304" s="178">
        <f>E304</f>
        <v>478.6983333333333</v>
      </c>
      <c r="H304" s="204"/>
      <c r="I304" s="204"/>
      <c r="J304" s="204"/>
      <c r="K304" s="204"/>
      <c r="L304" s="204"/>
      <c r="M304" s="90"/>
    </row>
    <row r="305" spans="1:13" s="15" customFormat="1" ht="25.5" customHeight="1">
      <c r="A305" s="173"/>
      <c r="B305" s="180" t="s">
        <v>51</v>
      </c>
      <c r="C305" s="475" t="s">
        <v>300</v>
      </c>
      <c r="D305" s="475"/>
      <c r="E305" s="475"/>
      <c r="F305" s="475"/>
      <c r="G305" s="475"/>
      <c r="H305" s="475"/>
      <c r="I305" s="475"/>
      <c r="J305" s="475"/>
      <c r="K305" s="475"/>
      <c r="L305" s="475"/>
      <c r="M305" s="90"/>
    </row>
    <row r="306" spans="1:13" s="15" customFormat="1" ht="16.5" customHeight="1">
      <c r="A306" s="174"/>
      <c r="B306" s="175" t="s">
        <v>150</v>
      </c>
      <c r="C306" s="91"/>
      <c r="D306" s="176"/>
      <c r="E306" s="476"/>
      <c r="F306" s="476"/>
      <c r="G306" s="177"/>
      <c r="H306" s="480"/>
      <c r="I306" s="480"/>
      <c r="J306" s="268"/>
      <c r="K306" s="476"/>
      <c r="L306" s="476"/>
      <c r="M306" s="90"/>
    </row>
    <row r="307" spans="1:13" s="15" customFormat="1" ht="43.5" customHeight="1">
      <c r="A307" s="174"/>
      <c r="B307" s="4" t="s">
        <v>151</v>
      </c>
      <c r="C307" s="91" t="s">
        <v>63</v>
      </c>
      <c r="D307" s="2" t="s">
        <v>363</v>
      </c>
      <c r="E307" s="178">
        <v>160036.19</v>
      </c>
      <c r="F307" s="178"/>
      <c r="G307" s="178">
        <f>E307</f>
        <v>160036.19</v>
      </c>
      <c r="H307" s="178">
        <v>546000</v>
      </c>
      <c r="I307" s="178"/>
      <c r="J307" s="178">
        <f>H307</f>
        <v>546000</v>
      </c>
      <c r="K307" s="178">
        <f>480000+54000+66000+36000+264000+48000+650000</f>
        <v>1598000</v>
      </c>
      <c r="L307" s="178"/>
      <c r="M307" s="414">
        <f>K307</f>
        <v>1598000</v>
      </c>
    </row>
    <row r="308" spans="1:13" s="15" customFormat="1" ht="15" customHeight="1">
      <c r="A308" s="174"/>
      <c r="B308" s="175" t="s">
        <v>152</v>
      </c>
      <c r="C308" s="91"/>
      <c r="D308" s="2"/>
      <c r="E308" s="178"/>
      <c r="F308" s="178"/>
      <c r="G308" s="178"/>
      <c r="H308" s="204"/>
      <c r="I308" s="204"/>
      <c r="J308" s="204"/>
      <c r="K308" s="204"/>
      <c r="L308" s="204"/>
      <c r="M308" s="90"/>
    </row>
    <row r="309" spans="1:13" s="15" customFormat="1" ht="96" customHeight="1">
      <c r="A309" s="174"/>
      <c r="B309" s="4" t="s">
        <v>301</v>
      </c>
      <c r="C309" s="91" t="s">
        <v>153</v>
      </c>
      <c r="D309" s="14" t="s">
        <v>450</v>
      </c>
      <c r="E309" s="178">
        <v>1</v>
      </c>
      <c r="F309" s="178"/>
      <c r="G309" s="178">
        <f>E309</f>
        <v>1</v>
      </c>
      <c r="H309" s="204">
        <v>6</v>
      </c>
      <c r="I309" s="204"/>
      <c r="J309" s="204">
        <f>H309</f>
        <v>6</v>
      </c>
      <c r="K309" s="204">
        <v>7</v>
      </c>
      <c r="L309" s="204"/>
      <c r="M309" s="414">
        <f>K309</f>
        <v>7</v>
      </c>
    </row>
    <row r="310" spans="1:13" s="15" customFormat="1" ht="29.25" customHeight="1" hidden="1">
      <c r="A310" s="195"/>
      <c r="B310" s="2" t="s">
        <v>250</v>
      </c>
      <c r="C310" s="91" t="s">
        <v>215</v>
      </c>
      <c r="D310" s="14"/>
      <c r="E310" s="178"/>
      <c r="F310" s="178"/>
      <c r="G310" s="197"/>
      <c r="H310" s="178"/>
      <c r="I310" s="178"/>
      <c r="J310" s="178"/>
      <c r="K310" s="178"/>
      <c r="L310" s="178"/>
      <c r="M310" s="90"/>
    </row>
    <row r="311" spans="1:13" s="15" customFormat="1" ht="15">
      <c r="A311" s="174"/>
      <c r="B311" s="175" t="s">
        <v>154</v>
      </c>
      <c r="C311" s="91"/>
      <c r="D311" s="87"/>
      <c r="E311" s="178"/>
      <c r="F311" s="178"/>
      <c r="G311" s="178"/>
      <c r="H311" s="204"/>
      <c r="I311" s="204"/>
      <c r="J311" s="204"/>
      <c r="K311" s="204"/>
      <c r="L311" s="204"/>
      <c r="M311" s="90"/>
    </row>
    <row r="312" spans="1:13" s="15" customFormat="1" ht="28.5" customHeight="1">
      <c r="A312" s="73"/>
      <c r="B312" s="4" t="s">
        <v>303</v>
      </c>
      <c r="C312" s="91" t="s">
        <v>63</v>
      </c>
      <c r="D312" s="206" t="s">
        <v>109</v>
      </c>
      <c r="E312" s="178">
        <f>E307/E309</f>
        <v>160036.19</v>
      </c>
      <c r="F312" s="178"/>
      <c r="G312" s="178">
        <f>E312</f>
        <v>160036.19</v>
      </c>
      <c r="H312" s="204">
        <f>H307/H309</f>
        <v>91000</v>
      </c>
      <c r="I312" s="204"/>
      <c r="J312" s="204">
        <f>H312</f>
        <v>91000</v>
      </c>
      <c r="K312" s="204">
        <f>K307/K309</f>
        <v>228285.7142857143</v>
      </c>
      <c r="L312" s="204"/>
      <c r="M312" s="414">
        <f>K312</f>
        <v>228285.7142857143</v>
      </c>
    </row>
    <row r="313" spans="1:13" s="15" customFormat="1" ht="25.5" customHeight="1">
      <c r="A313" s="173"/>
      <c r="B313" s="180" t="s">
        <v>51</v>
      </c>
      <c r="C313" s="475" t="s">
        <v>302</v>
      </c>
      <c r="D313" s="475"/>
      <c r="E313" s="475"/>
      <c r="F313" s="475"/>
      <c r="G313" s="475"/>
      <c r="H313" s="475"/>
      <c r="I313" s="475"/>
      <c r="J313" s="475"/>
      <c r="K313" s="475"/>
      <c r="L313" s="475"/>
      <c r="M313" s="90"/>
    </row>
    <row r="314" spans="1:13" s="15" customFormat="1" ht="16.5" customHeight="1">
      <c r="A314" s="174"/>
      <c r="B314" s="175" t="s">
        <v>150</v>
      </c>
      <c r="C314" s="91"/>
      <c r="D314" s="176"/>
      <c r="E314" s="476"/>
      <c r="F314" s="476"/>
      <c r="G314" s="177"/>
      <c r="H314" s="480"/>
      <c r="I314" s="480"/>
      <c r="J314" s="268"/>
      <c r="K314" s="476"/>
      <c r="L314" s="476"/>
      <c r="M314" s="90"/>
    </row>
    <row r="315" spans="1:13" s="15" customFormat="1" ht="43.5" customHeight="1">
      <c r="A315" s="174"/>
      <c r="B315" s="4" t="s">
        <v>151</v>
      </c>
      <c r="C315" s="91" t="s">
        <v>63</v>
      </c>
      <c r="D315" s="2" t="s">
        <v>216</v>
      </c>
      <c r="E315" s="178"/>
      <c r="F315" s="178"/>
      <c r="G315" s="178"/>
      <c r="H315" s="178">
        <v>267000</v>
      </c>
      <c r="I315" s="178"/>
      <c r="J315" s="178">
        <f>H315</f>
        <v>267000</v>
      </c>
      <c r="K315" s="178">
        <v>57000</v>
      </c>
      <c r="L315" s="178"/>
      <c r="M315" s="414">
        <f>K315</f>
        <v>57000</v>
      </c>
    </row>
    <row r="316" spans="1:13" s="15" customFormat="1" ht="15" customHeight="1">
      <c r="A316" s="174"/>
      <c r="B316" s="175" t="s">
        <v>152</v>
      </c>
      <c r="C316" s="91"/>
      <c r="D316" s="2"/>
      <c r="E316" s="178"/>
      <c r="F316" s="178"/>
      <c r="G316" s="178"/>
      <c r="H316" s="204"/>
      <c r="I316" s="204"/>
      <c r="J316" s="204"/>
      <c r="K316" s="204"/>
      <c r="L316" s="204"/>
      <c r="M316" s="90"/>
    </row>
    <row r="317" spans="1:13" s="15" customFormat="1" ht="96" customHeight="1">
      <c r="A317" s="174"/>
      <c r="B317" s="4" t="s">
        <v>304</v>
      </c>
      <c r="C317" s="91" t="s">
        <v>153</v>
      </c>
      <c r="D317" s="14" t="s">
        <v>457</v>
      </c>
      <c r="E317" s="178"/>
      <c r="F317" s="178"/>
      <c r="G317" s="178"/>
      <c r="H317" s="204">
        <v>2</v>
      </c>
      <c r="I317" s="204"/>
      <c r="J317" s="204">
        <f>H317</f>
        <v>2</v>
      </c>
      <c r="K317" s="204">
        <v>3</v>
      </c>
      <c r="L317" s="204"/>
      <c r="M317" s="414">
        <f>K317</f>
        <v>3</v>
      </c>
    </row>
    <row r="318" spans="1:13" s="15" customFormat="1" ht="29.25" customHeight="1" hidden="1">
      <c r="A318" s="195"/>
      <c r="B318" s="4" t="s">
        <v>250</v>
      </c>
      <c r="C318" s="91" t="s">
        <v>215</v>
      </c>
      <c r="D318" s="14"/>
      <c r="E318" s="178"/>
      <c r="F318" s="178"/>
      <c r="G318" s="197"/>
      <c r="H318" s="178"/>
      <c r="I318" s="178"/>
      <c r="J318" s="178"/>
      <c r="K318" s="178"/>
      <c r="L318" s="178"/>
      <c r="M318" s="90"/>
    </row>
    <row r="319" spans="1:13" s="15" customFormat="1" ht="15">
      <c r="A319" s="174"/>
      <c r="B319" s="175" t="s">
        <v>154</v>
      </c>
      <c r="C319" s="91"/>
      <c r="D319" s="87"/>
      <c r="E319" s="178"/>
      <c r="F319" s="178"/>
      <c r="G319" s="178"/>
      <c r="H319" s="204"/>
      <c r="I319" s="204"/>
      <c r="J319" s="204"/>
      <c r="K319" s="204"/>
      <c r="L319" s="204"/>
      <c r="M319" s="90"/>
    </row>
    <row r="320" spans="1:13" s="15" customFormat="1" ht="28.5" customHeight="1">
      <c r="A320" s="73"/>
      <c r="B320" s="4" t="s">
        <v>251</v>
      </c>
      <c r="C320" s="91" t="s">
        <v>63</v>
      </c>
      <c r="D320" s="206" t="s">
        <v>109</v>
      </c>
      <c r="E320" s="178" t="e">
        <f>E315/E317</f>
        <v>#DIV/0!</v>
      </c>
      <c r="F320" s="178"/>
      <c r="G320" s="178"/>
      <c r="H320" s="204">
        <f>H315/H317</f>
        <v>133500</v>
      </c>
      <c r="I320" s="204"/>
      <c r="J320" s="204">
        <f>H320</f>
        <v>133500</v>
      </c>
      <c r="K320" s="204">
        <f>K315/K317</f>
        <v>19000</v>
      </c>
      <c r="L320" s="204"/>
      <c r="M320" s="414">
        <f>K320</f>
        <v>19000</v>
      </c>
    </row>
    <row r="321" spans="1:13" s="15" customFormat="1" ht="25.5" customHeight="1">
      <c r="A321" s="173"/>
      <c r="B321" s="180" t="s">
        <v>51</v>
      </c>
      <c r="C321" s="475" t="s">
        <v>305</v>
      </c>
      <c r="D321" s="475"/>
      <c r="E321" s="475"/>
      <c r="F321" s="475"/>
      <c r="G321" s="475"/>
      <c r="H321" s="475"/>
      <c r="I321" s="475"/>
      <c r="J321" s="475"/>
      <c r="K321" s="475"/>
      <c r="L321" s="475"/>
      <c r="M321" s="90"/>
    </row>
    <row r="322" spans="1:13" s="15" customFormat="1" ht="16.5" customHeight="1">
      <c r="A322" s="174"/>
      <c r="B322" s="175" t="s">
        <v>150</v>
      </c>
      <c r="C322" s="91"/>
      <c r="D322" s="176"/>
      <c r="E322" s="476"/>
      <c r="F322" s="476"/>
      <c r="G322" s="177"/>
      <c r="H322" s="480"/>
      <c r="I322" s="480"/>
      <c r="J322" s="268"/>
      <c r="K322" s="476"/>
      <c r="L322" s="476"/>
      <c r="M322" s="90"/>
    </row>
    <row r="323" spans="1:13" s="15" customFormat="1" ht="43.5" customHeight="1">
      <c r="A323" s="174"/>
      <c r="B323" s="4" t="s">
        <v>151</v>
      </c>
      <c r="C323" s="91" t="s">
        <v>63</v>
      </c>
      <c r="D323" s="2" t="s">
        <v>216</v>
      </c>
      <c r="E323" s="178"/>
      <c r="F323" s="178"/>
      <c r="G323" s="178"/>
      <c r="H323" s="178">
        <v>3305300</v>
      </c>
      <c r="I323" s="178"/>
      <c r="J323" s="178">
        <f>H323</f>
        <v>3305300</v>
      </c>
      <c r="K323" s="178">
        <f>1080000+1074000+200000+90000+230000</f>
        <v>2674000</v>
      </c>
      <c r="L323" s="178"/>
      <c r="M323" s="414">
        <f>K323</f>
        <v>2674000</v>
      </c>
    </row>
    <row r="324" spans="1:13" s="15" customFormat="1" ht="15" customHeight="1">
      <c r="A324" s="174"/>
      <c r="B324" s="175" t="s">
        <v>152</v>
      </c>
      <c r="C324" s="91"/>
      <c r="D324" s="2"/>
      <c r="E324" s="178"/>
      <c r="F324" s="178"/>
      <c r="G324" s="178"/>
      <c r="H324" s="204"/>
      <c r="I324" s="204"/>
      <c r="J324" s="204"/>
      <c r="K324" s="204"/>
      <c r="L324" s="204"/>
      <c r="M324" s="90"/>
    </row>
    <row r="325" spans="1:13" s="15" customFormat="1" ht="85.5" customHeight="1">
      <c r="A325" s="174"/>
      <c r="B325" s="4" t="s">
        <v>399</v>
      </c>
      <c r="C325" s="91" t="s">
        <v>153</v>
      </c>
      <c r="D325" s="2" t="s">
        <v>457</v>
      </c>
      <c r="E325" s="178"/>
      <c r="F325" s="178"/>
      <c r="G325" s="178"/>
      <c r="H325" s="204">
        <v>6</v>
      </c>
      <c r="I325" s="204"/>
      <c r="J325" s="204">
        <f>H325</f>
        <v>6</v>
      </c>
      <c r="K325" s="204">
        <v>5</v>
      </c>
      <c r="L325" s="204"/>
      <c r="M325" s="414">
        <f>K325</f>
        <v>5</v>
      </c>
    </row>
    <row r="326" spans="1:13" s="15" customFormat="1" ht="27" customHeight="1" hidden="1">
      <c r="A326" s="174"/>
      <c r="B326" s="4" t="s">
        <v>304</v>
      </c>
      <c r="C326" s="91" t="s">
        <v>153</v>
      </c>
      <c r="D326" s="483" t="s">
        <v>315</v>
      </c>
      <c r="E326" s="178"/>
      <c r="F326" s="178"/>
      <c r="G326" s="178"/>
      <c r="H326" s="204">
        <v>1</v>
      </c>
      <c r="I326" s="204"/>
      <c r="J326" s="204"/>
      <c r="K326" s="204">
        <v>1</v>
      </c>
      <c r="L326" s="204"/>
      <c r="M326" s="90"/>
    </row>
    <row r="327" spans="1:13" s="15" customFormat="1" ht="24" customHeight="1" hidden="1">
      <c r="A327" s="174"/>
      <c r="B327" s="4" t="s">
        <v>310</v>
      </c>
      <c r="C327" s="91" t="s">
        <v>153</v>
      </c>
      <c r="D327" s="483"/>
      <c r="E327" s="178"/>
      <c r="F327" s="178"/>
      <c r="G327" s="178"/>
      <c r="H327" s="204">
        <v>5</v>
      </c>
      <c r="I327" s="204"/>
      <c r="J327" s="204"/>
      <c r="K327" s="204">
        <v>5</v>
      </c>
      <c r="L327" s="204"/>
      <c r="M327" s="90"/>
    </row>
    <row r="328" spans="1:13" s="15" customFormat="1" ht="29.25" customHeight="1" hidden="1">
      <c r="A328" s="195"/>
      <c r="B328" s="4" t="s">
        <v>306</v>
      </c>
      <c r="C328" s="91" t="s">
        <v>153</v>
      </c>
      <c r="D328" s="483"/>
      <c r="E328" s="178"/>
      <c r="F328" s="178"/>
      <c r="G328" s="197"/>
      <c r="H328" s="178">
        <v>4</v>
      </c>
      <c r="I328" s="178"/>
      <c r="J328" s="178"/>
      <c r="K328" s="178">
        <v>4</v>
      </c>
      <c r="L328" s="178"/>
      <c r="M328" s="90"/>
    </row>
    <row r="329" spans="1:13" s="15" customFormat="1" ht="29.25" customHeight="1" hidden="1">
      <c r="A329" s="195"/>
      <c r="B329" s="4" t="s">
        <v>307</v>
      </c>
      <c r="C329" s="91" t="s">
        <v>153</v>
      </c>
      <c r="D329" s="483"/>
      <c r="E329" s="178"/>
      <c r="F329" s="178"/>
      <c r="G329" s="197"/>
      <c r="H329" s="178">
        <v>820</v>
      </c>
      <c r="I329" s="178"/>
      <c r="J329" s="178"/>
      <c r="K329" s="178">
        <v>820</v>
      </c>
      <c r="L329" s="178"/>
      <c r="M329" s="90"/>
    </row>
    <row r="330" spans="1:13" s="15" customFormat="1" ht="29.25" customHeight="1" hidden="1">
      <c r="A330" s="195"/>
      <c r="B330" s="4" t="s">
        <v>250</v>
      </c>
      <c r="C330" s="91" t="s">
        <v>153</v>
      </c>
      <c r="D330" s="14"/>
      <c r="E330" s="178"/>
      <c r="F330" s="178"/>
      <c r="G330" s="197"/>
      <c r="H330" s="178">
        <v>12</v>
      </c>
      <c r="I330" s="178"/>
      <c r="J330" s="178"/>
      <c r="K330" s="178">
        <v>12</v>
      </c>
      <c r="L330" s="178"/>
      <c r="M330" s="90"/>
    </row>
    <row r="331" spans="1:13" s="15" customFormat="1" ht="15">
      <c r="A331" s="174"/>
      <c r="B331" s="175" t="s">
        <v>154</v>
      </c>
      <c r="C331" s="91"/>
      <c r="D331" s="87"/>
      <c r="E331" s="178"/>
      <c r="F331" s="178"/>
      <c r="G331" s="178"/>
      <c r="H331" s="204"/>
      <c r="I331" s="204"/>
      <c r="J331" s="204"/>
      <c r="K331" s="204"/>
      <c r="L331" s="204"/>
      <c r="M331" s="90"/>
    </row>
    <row r="332" spans="1:13" s="15" customFormat="1" ht="42.75" customHeight="1">
      <c r="A332" s="73"/>
      <c r="B332" s="4" t="s">
        <v>400</v>
      </c>
      <c r="C332" s="91" t="s">
        <v>63</v>
      </c>
      <c r="D332" s="206" t="s">
        <v>109</v>
      </c>
      <c r="E332" s="178"/>
      <c r="F332" s="178"/>
      <c r="G332" s="178"/>
      <c r="H332" s="204">
        <f>H323/H325</f>
        <v>550883.3333333334</v>
      </c>
      <c r="I332" s="204"/>
      <c r="J332" s="204">
        <f>H332</f>
        <v>550883.3333333334</v>
      </c>
      <c r="K332" s="204">
        <f>K323/K325</f>
        <v>534800</v>
      </c>
      <c r="L332" s="204"/>
      <c r="M332" s="414">
        <f>K332</f>
        <v>534800</v>
      </c>
    </row>
    <row r="333" spans="1:13" s="15" customFormat="1" ht="28.5" customHeight="1" hidden="1">
      <c r="A333" s="73"/>
      <c r="B333" s="4" t="s">
        <v>312</v>
      </c>
      <c r="C333" s="91" t="s">
        <v>63</v>
      </c>
      <c r="D333" s="206" t="s">
        <v>109</v>
      </c>
      <c r="E333" s="178"/>
      <c r="F333" s="178"/>
      <c r="G333" s="178"/>
      <c r="H333" s="204">
        <f>88775</f>
        <v>88775</v>
      </c>
      <c r="I333" s="204"/>
      <c r="J333" s="204"/>
      <c r="K333" s="204"/>
      <c r="L333" s="204"/>
      <c r="M333" s="90"/>
    </row>
    <row r="334" spans="1:13" s="15" customFormat="1" ht="28.5" customHeight="1" hidden="1">
      <c r="A334" s="73"/>
      <c r="B334" s="4" t="s">
        <v>308</v>
      </c>
      <c r="C334" s="91" t="s">
        <v>63</v>
      </c>
      <c r="D334" s="206" t="s">
        <v>109</v>
      </c>
      <c r="E334" s="178"/>
      <c r="F334" s="178"/>
      <c r="G334" s="178"/>
      <c r="H334" s="204">
        <f>45000</f>
        <v>45000</v>
      </c>
      <c r="I334" s="204"/>
      <c r="J334" s="204"/>
      <c r="K334" s="204"/>
      <c r="L334" s="204"/>
      <c r="M334" s="90"/>
    </row>
    <row r="335" spans="1:13" s="15" customFormat="1" ht="36" customHeight="1" hidden="1">
      <c r="A335" s="73"/>
      <c r="B335" s="4" t="s">
        <v>309</v>
      </c>
      <c r="C335" s="91" t="s">
        <v>63</v>
      </c>
      <c r="D335" s="206" t="s">
        <v>109</v>
      </c>
      <c r="E335" s="178"/>
      <c r="F335" s="178"/>
      <c r="G335" s="178"/>
      <c r="H335" s="204">
        <v>50000</v>
      </c>
      <c r="I335" s="204"/>
      <c r="J335" s="204"/>
      <c r="K335" s="204"/>
      <c r="L335" s="204"/>
      <c r="M335" s="90"/>
    </row>
    <row r="336" spans="1:13" s="15" customFormat="1" ht="37.5" customHeight="1" hidden="1">
      <c r="A336" s="73"/>
      <c r="B336" s="4" t="s">
        <v>311</v>
      </c>
      <c r="C336" s="91" t="s">
        <v>63</v>
      </c>
      <c r="D336" s="206" t="s">
        <v>109</v>
      </c>
      <c r="E336" s="178"/>
      <c r="F336" s="178"/>
      <c r="G336" s="178"/>
      <c r="H336" s="204">
        <v>1000</v>
      </c>
      <c r="I336" s="204"/>
      <c r="J336" s="204"/>
      <c r="K336" s="204"/>
      <c r="L336" s="204"/>
      <c r="M336" s="90"/>
    </row>
    <row r="337" spans="1:13" s="15" customFormat="1" ht="25.5" customHeight="1">
      <c r="A337" s="173"/>
      <c r="B337" s="4"/>
      <c r="C337" s="475" t="s">
        <v>252</v>
      </c>
      <c r="D337" s="475"/>
      <c r="E337" s="475"/>
      <c r="F337" s="475"/>
      <c r="G337" s="475"/>
      <c r="H337" s="475"/>
      <c r="I337" s="475"/>
      <c r="J337" s="475"/>
      <c r="K337" s="475"/>
      <c r="L337" s="475"/>
      <c r="M337" s="90"/>
    </row>
    <row r="338" spans="1:13" s="15" customFormat="1" ht="25.5" customHeight="1">
      <c r="A338" s="173"/>
      <c r="B338" s="180" t="s">
        <v>51</v>
      </c>
      <c r="C338" s="475" t="s">
        <v>510</v>
      </c>
      <c r="D338" s="475"/>
      <c r="E338" s="475"/>
      <c r="F338" s="475"/>
      <c r="G338" s="475"/>
      <c r="H338" s="475"/>
      <c r="I338" s="475"/>
      <c r="J338" s="475"/>
      <c r="K338" s="475"/>
      <c r="L338" s="475"/>
      <c r="M338" s="90"/>
    </row>
    <row r="339" spans="1:13" s="15" customFormat="1" ht="16.5" customHeight="1">
      <c r="A339" s="174"/>
      <c r="B339" s="175" t="s">
        <v>150</v>
      </c>
      <c r="C339" s="91"/>
      <c r="D339" s="176"/>
      <c r="E339" s="476"/>
      <c r="F339" s="476"/>
      <c r="G339" s="177"/>
      <c r="H339" s="480"/>
      <c r="I339" s="480"/>
      <c r="J339" s="268"/>
      <c r="K339" s="476"/>
      <c r="L339" s="476"/>
      <c r="M339" s="90"/>
    </row>
    <row r="340" spans="1:13" s="15" customFormat="1" ht="43.5" customHeight="1">
      <c r="A340" s="174"/>
      <c r="B340" s="4" t="s">
        <v>151</v>
      </c>
      <c r="C340" s="91" t="s">
        <v>63</v>
      </c>
      <c r="D340" s="2" t="s">
        <v>511</v>
      </c>
      <c r="E340" s="178">
        <f>214637.53</f>
        <v>214637.53</v>
      </c>
      <c r="F340" s="178"/>
      <c r="G340" s="178">
        <f>E340</f>
        <v>214637.53</v>
      </c>
      <c r="H340" s="178">
        <f>100000+430000</f>
        <v>530000</v>
      </c>
      <c r="I340" s="178"/>
      <c r="J340" s="178">
        <f>H340</f>
        <v>530000</v>
      </c>
      <c r="K340" s="178">
        <v>150000</v>
      </c>
      <c r="L340" s="178"/>
      <c r="M340" s="414">
        <f>K340</f>
        <v>150000</v>
      </c>
    </row>
    <row r="341" spans="1:13" s="15" customFormat="1" ht="15" customHeight="1">
      <c r="A341" s="174"/>
      <c r="B341" s="175" t="s">
        <v>152</v>
      </c>
      <c r="C341" s="91"/>
      <c r="D341" s="2"/>
      <c r="E341" s="178"/>
      <c r="F341" s="178"/>
      <c r="G341" s="178"/>
      <c r="H341" s="204"/>
      <c r="I341" s="204"/>
      <c r="J341" s="204"/>
      <c r="K341" s="204"/>
      <c r="L341" s="204"/>
      <c r="M341" s="90"/>
    </row>
    <row r="342" spans="1:13" s="15" customFormat="1" ht="96" customHeight="1">
      <c r="A342" s="174"/>
      <c r="B342" s="4" t="s">
        <v>253</v>
      </c>
      <c r="C342" s="91" t="s">
        <v>153</v>
      </c>
      <c r="D342" s="14" t="s">
        <v>450</v>
      </c>
      <c r="E342" s="178">
        <v>2</v>
      </c>
      <c r="F342" s="178"/>
      <c r="G342" s="178">
        <f>E342</f>
        <v>2</v>
      </c>
      <c r="H342" s="204">
        <v>3</v>
      </c>
      <c r="I342" s="204"/>
      <c r="J342" s="204">
        <f>H342</f>
        <v>3</v>
      </c>
      <c r="K342" s="204">
        <v>1</v>
      </c>
      <c r="L342" s="204"/>
      <c r="M342" s="414">
        <f>K342</f>
        <v>1</v>
      </c>
    </row>
    <row r="343" spans="1:13" s="15" customFormat="1" ht="15">
      <c r="A343" s="174"/>
      <c r="B343" s="175" t="s">
        <v>154</v>
      </c>
      <c r="C343" s="91"/>
      <c r="D343" s="87"/>
      <c r="E343" s="178"/>
      <c r="F343" s="178"/>
      <c r="G343" s="178"/>
      <c r="H343" s="204"/>
      <c r="I343" s="204"/>
      <c r="J343" s="204"/>
      <c r="K343" s="204"/>
      <c r="L343" s="204"/>
      <c r="M343" s="90"/>
    </row>
    <row r="344" spans="1:13" s="15" customFormat="1" ht="28.5" customHeight="1">
      <c r="A344" s="73"/>
      <c r="B344" s="4" t="s">
        <v>254</v>
      </c>
      <c r="C344" s="91" t="s">
        <v>63</v>
      </c>
      <c r="D344" s="206" t="s">
        <v>109</v>
      </c>
      <c r="E344" s="178">
        <f>E340/E342</f>
        <v>107318.765</v>
      </c>
      <c r="F344" s="178"/>
      <c r="G344" s="178">
        <f>E344</f>
        <v>107318.765</v>
      </c>
      <c r="H344" s="204">
        <f>H340/H342</f>
        <v>176666.66666666666</v>
      </c>
      <c r="I344" s="204"/>
      <c r="J344" s="204">
        <f>H344</f>
        <v>176666.66666666666</v>
      </c>
      <c r="K344" s="204">
        <f>K340/K342</f>
        <v>150000</v>
      </c>
      <c r="L344" s="204" t="e">
        <f>L340/L342</f>
        <v>#DIV/0!</v>
      </c>
      <c r="M344" s="414">
        <f>K344</f>
        <v>150000</v>
      </c>
    </row>
    <row r="345" spans="1:13" s="15" customFormat="1" ht="25.5" customHeight="1">
      <c r="A345" s="173"/>
      <c r="B345" s="4"/>
      <c r="C345" s="475" t="s">
        <v>458</v>
      </c>
      <c r="D345" s="475"/>
      <c r="E345" s="475"/>
      <c r="F345" s="475"/>
      <c r="G345" s="475"/>
      <c r="H345" s="475"/>
      <c r="I345" s="475"/>
      <c r="J345" s="475"/>
      <c r="K345" s="475"/>
      <c r="L345" s="475"/>
      <c r="M345" s="90"/>
    </row>
    <row r="346" spans="1:13" s="15" customFormat="1" ht="25.5" customHeight="1">
      <c r="A346" s="173"/>
      <c r="B346" s="180" t="s">
        <v>51</v>
      </c>
      <c r="C346" s="475" t="s">
        <v>357</v>
      </c>
      <c r="D346" s="475"/>
      <c r="E346" s="475"/>
      <c r="F346" s="475"/>
      <c r="G346" s="475"/>
      <c r="H346" s="475"/>
      <c r="I346" s="475"/>
      <c r="J346" s="475"/>
      <c r="K346" s="475"/>
      <c r="L346" s="475"/>
      <c r="M346" s="90"/>
    </row>
    <row r="347" spans="1:13" s="15" customFormat="1" ht="16.5" customHeight="1">
      <c r="A347" s="174"/>
      <c r="B347" s="175" t="s">
        <v>150</v>
      </c>
      <c r="C347" s="91"/>
      <c r="D347" s="176"/>
      <c r="E347" s="476"/>
      <c r="F347" s="476"/>
      <c r="G347" s="177"/>
      <c r="H347" s="480"/>
      <c r="I347" s="480"/>
      <c r="J347" s="268"/>
      <c r="K347" s="476"/>
      <c r="L347" s="476"/>
      <c r="M347" s="90"/>
    </row>
    <row r="348" spans="1:13" s="15" customFormat="1" ht="32.25" customHeight="1">
      <c r="A348" s="174"/>
      <c r="B348" s="4" t="s">
        <v>151</v>
      </c>
      <c r="C348" s="91" t="s">
        <v>63</v>
      </c>
      <c r="D348" s="2" t="s">
        <v>449</v>
      </c>
      <c r="E348" s="178"/>
      <c r="F348" s="178"/>
      <c r="G348" s="178"/>
      <c r="H348" s="178"/>
      <c r="I348" s="178"/>
      <c r="J348" s="178"/>
      <c r="K348" s="178">
        <f>50000+160000+50000</f>
        <v>260000</v>
      </c>
      <c r="L348" s="178"/>
      <c r="M348" s="414">
        <f>K348</f>
        <v>260000</v>
      </c>
    </row>
    <row r="349" spans="1:13" s="15" customFormat="1" ht="15" customHeight="1">
      <c r="A349" s="174"/>
      <c r="B349" s="175" t="s">
        <v>152</v>
      </c>
      <c r="C349" s="91"/>
      <c r="D349" s="2"/>
      <c r="E349" s="178"/>
      <c r="F349" s="178"/>
      <c r="G349" s="178"/>
      <c r="H349" s="204"/>
      <c r="I349" s="204"/>
      <c r="J349" s="204"/>
      <c r="K349" s="204"/>
      <c r="L349" s="204"/>
      <c r="M349" s="90"/>
    </row>
    <row r="350" spans="1:13" s="15" customFormat="1" ht="96" customHeight="1">
      <c r="A350" s="174"/>
      <c r="B350" s="4" t="s">
        <v>459</v>
      </c>
      <c r="C350" s="91" t="s">
        <v>153</v>
      </c>
      <c r="D350" s="14" t="s">
        <v>450</v>
      </c>
      <c r="E350" s="178"/>
      <c r="F350" s="178"/>
      <c r="G350" s="178"/>
      <c r="H350" s="204"/>
      <c r="I350" s="204"/>
      <c r="J350" s="204"/>
      <c r="K350" s="204">
        <v>3</v>
      </c>
      <c r="L350" s="204"/>
      <c r="M350" s="414">
        <f>K350</f>
        <v>3</v>
      </c>
    </row>
    <row r="351" spans="1:13" s="15" customFormat="1" ht="15">
      <c r="A351" s="174"/>
      <c r="B351" s="175" t="s">
        <v>154</v>
      </c>
      <c r="C351" s="91"/>
      <c r="D351" s="87"/>
      <c r="E351" s="178"/>
      <c r="F351" s="178"/>
      <c r="G351" s="178"/>
      <c r="H351" s="204"/>
      <c r="I351" s="204"/>
      <c r="J351" s="204"/>
      <c r="K351" s="204"/>
      <c r="L351" s="204"/>
      <c r="M351" s="90"/>
    </row>
    <row r="352" spans="1:13" s="15" customFormat="1" ht="28.5" customHeight="1">
      <c r="A352" s="73"/>
      <c r="B352" s="4" t="s">
        <v>460</v>
      </c>
      <c r="C352" s="91" t="s">
        <v>63</v>
      </c>
      <c r="D352" s="206" t="s">
        <v>109</v>
      </c>
      <c r="E352" s="178"/>
      <c r="F352" s="178"/>
      <c r="G352" s="178"/>
      <c r="H352" s="204"/>
      <c r="I352" s="204"/>
      <c r="J352" s="204"/>
      <c r="K352" s="204">
        <f>K348/K350</f>
        <v>86666.66666666667</v>
      </c>
      <c r="L352" s="204" t="e">
        <f>L348/L350</f>
        <v>#DIV/0!</v>
      </c>
      <c r="M352" s="414">
        <f>K352</f>
        <v>86666.66666666667</v>
      </c>
    </row>
    <row r="353" spans="1:12" s="15" customFormat="1" ht="32.25" customHeight="1">
      <c r="A353" s="11"/>
      <c r="B353" s="473" t="s">
        <v>512</v>
      </c>
      <c r="C353" s="473"/>
      <c r="D353" s="473"/>
      <c r="E353" s="473"/>
      <c r="F353" s="473"/>
      <c r="G353" s="473"/>
      <c r="H353" s="473"/>
      <c r="I353" s="473"/>
      <c r="J353" s="473"/>
      <c r="K353" s="473"/>
      <c r="L353" s="473"/>
    </row>
    <row r="354" spans="1:12" s="15" customFormat="1" ht="18.75" customHeight="1">
      <c r="A354" s="11"/>
      <c r="B354" s="143"/>
      <c r="C354" s="143"/>
      <c r="D354" s="143"/>
      <c r="E354" s="143"/>
      <c r="F354" s="143"/>
      <c r="G354" s="143"/>
      <c r="H354" s="143"/>
      <c r="I354" s="143"/>
      <c r="J354" s="143"/>
      <c r="K354" s="143"/>
      <c r="L354" s="143"/>
    </row>
    <row r="355" spans="1:12" s="15" customFormat="1" ht="27" customHeight="1">
      <c r="A355" s="504" t="s">
        <v>24</v>
      </c>
      <c r="B355" s="502" t="s">
        <v>48</v>
      </c>
      <c r="C355" s="502" t="s">
        <v>49</v>
      </c>
      <c r="D355" s="502" t="s">
        <v>50</v>
      </c>
      <c r="E355" s="518" t="s">
        <v>127</v>
      </c>
      <c r="F355" s="519"/>
      <c r="G355" s="520"/>
      <c r="H355" s="518" t="s">
        <v>345</v>
      </c>
      <c r="I355" s="519"/>
      <c r="J355" s="520"/>
      <c r="K355" s="9"/>
      <c r="L355" s="66"/>
    </row>
    <row r="356" spans="1:12" s="15" customFormat="1" ht="33" customHeight="1">
      <c r="A356" s="505"/>
      <c r="B356" s="502"/>
      <c r="C356" s="502"/>
      <c r="D356" s="502"/>
      <c r="E356" s="385" t="s">
        <v>3</v>
      </c>
      <c r="F356" s="385" t="s">
        <v>4</v>
      </c>
      <c r="G356" s="386" t="s">
        <v>486</v>
      </c>
      <c r="H356" s="385" t="s">
        <v>3</v>
      </c>
      <c r="I356" s="385" t="s">
        <v>4</v>
      </c>
      <c r="J356" s="2" t="s">
        <v>487</v>
      </c>
      <c r="K356" s="9"/>
      <c r="L356" s="9"/>
    </row>
    <row r="357" spans="1:12" s="15" customFormat="1" ht="15">
      <c r="A357" s="385">
        <v>1</v>
      </c>
      <c r="B357" s="387">
        <v>2</v>
      </c>
      <c r="C357" s="385">
        <v>3</v>
      </c>
      <c r="D357" s="385">
        <v>4</v>
      </c>
      <c r="E357" s="385">
        <v>5</v>
      </c>
      <c r="F357" s="385">
        <v>6</v>
      </c>
      <c r="G357" s="385">
        <v>7</v>
      </c>
      <c r="H357" s="385">
        <v>8</v>
      </c>
      <c r="I357" s="385">
        <v>9</v>
      </c>
      <c r="J357" s="385">
        <v>10</v>
      </c>
      <c r="K357" s="9"/>
      <c r="L357" s="9"/>
    </row>
    <row r="358" spans="1:12" s="15" customFormat="1" ht="69" customHeight="1">
      <c r="A358" s="207"/>
      <c r="B358" s="266" t="s">
        <v>158</v>
      </c>
      <c r="C358" s="475"/>
      <c r="D358" s="475"/>
      <c r="E358" s="475"/>
      <c r="F358" s="475"/>
      <c r="G358" s="475"/>
      <c r="H358" s="475"/>
      <c r="I358" s="475"/>
      <c r="J358" s="341"/>
      <c r="K358" s="186"/>
      <c r="L358" s="187"/>
    </row>
    <row r="359" spans="1:12" s="15" customFormat="1" ht="27.75" customHeight="1">
      <c r="A359" s="173"/>
      <c r="B359" s="194"/>
      <c r="C359" s="475" t="s">
        <v>255</v>
      </c>
      <c r="D359" s="475"/>
      <c r="E359" s="475"/>
      <c r="F359" s="475"/>
      <c r="G359" s="475"/>
      <c r="H359" s="475"/>
      <c r="I359" s="475"/>
      <c r="J359" s="341"/>
      <c r="K359" s="247"/>
      <c r="L359" s="247"/>
    </row>
    <row r="360" spans="1:12" s="15" customFormat="1" ht="27.75" customHeight="1">
      <c r="A360" s="173"/>
      <c r="B360" s="194"/>
      <c r="C360" s="475" t="s">
        <v>264</v>
      </c>
      <c r="D360" s="475"/>
      <c r="E360" s="475"/>
      <c r="F360" s="475"/>
      <c r="G360" s="475"/>
      <c r="H360" s="475"/>
      <c r="I360" s="475"/>
      <c r="J360" s="341"/>
      <c r="K360" s="247"/>
      <c r="L360" s="247"/>
    </row>
    <row r="361" spans="1:12" s="15" customFormat="1" ht="46.5" customHeight="1">
      <c r="A361" s="173"/>
      <c r="B361" s="194" t="s">
        <v>51</v>
      </c>
      <c r="C361" s="475" t="s">
        <v>267</v>
      </c>
      <c r="D361" s="475"/>
      <c r="E361" s="475"/>
      <c r="F361" s="475"/>
      <c r="G361" s="475"/>
      <c r="H361" s="475"/>
      <c r="I361" s="475"/>
      <c r="J361" s="341"/>
      <c r="K361" s="247"/>
      <c r="L361" s="247"/>
    </row>
    <row r="362" spans="1:12" s="15" customFormat="1" ht="15">
      <c r="A362" s="195"/>
      <c r="B362" s="83" t="s">
        <v>150</v>
      </c>
      <c r="C362" s="91"/>
      <c r="D362" s="196"/>
      <c r="E362" s="388"/>
      <c r="F362" s="392"/>
      <c r="G362" s="393"/>
      <c r="H362" s="484"/>
      <c r="I362" s="484"/>
      <c r="J362" s="197"/>
      <c r="K362" s="482"/>
      <c r="L362" s="482"/>
    </row>
    <row r="363" spans="1:12" s="15" customFormat="1" ht="39" customHeight="1">
      <c r="A363" s="195"/>
      <c r="B363" s="4" t="s">
        <v>166</v>
      </c>
      <c r="C363" s="91" t="s">
        <v>63</v>
      </c>
      <c r="D363" s="438" t="s">
        <v>401</v>
      </c>
      <c r="E363" s="197"/>
      <c r="F363" s="197">
        <f>L24*1.067</f>
        <v>117370</v>
      </c>
      <c r="G363" s="197">
        <f>E363+F363</f>
        <v>117370</v>
      </c>
      <c r="H363" s="197"/>
      <c r="I363" s="197">
        <f>F363*1.055</f>
        <v>123825.34999999999</v>
      </c>
      <c r="J363" s="197">
        <f>H363+I363</f>
        <v>123825.34999999999</v>
      </c>
      <c r="K363" s="248"/>
      <c r="L363" s="248"/>
    </row>
    <row r="364" spans="1:12" s="15" customFormat="1" ht="27" customHeight="1" hidden="1">
      <c r="A364" s="195"/>
      <c r="B364" s="4"/>
      <c r="C364" s="91"/>
      <c r="D364" s="438"/>
      <c r="E364" s="484"/>
      <c r="F364" s="484"/>
      <c r="G364" s="197">
        <f aca="true" t="shared" si="4" ref="G364:G370">E364+F364</f>
        <v>0</v>
      </c>
      <c r="H364" s="197"/>
      <c r="I364" s="197"/>
      <c r="J364" s="197">
        <f aca="true" t="shared" si="5" ref="J364:J370">H364+I364</f>
        <v>0</v>
      </c>
      <c r="K364" s="248"/>
      <c r="L364" s="248"/>
    </row>
    <row r="365" spans="1:12" s="15" customFormat="1" ht="29.25" customHeight="1" hidden="1">
      <c r="A365" s="195"/>
      <c r="B365" s="4"/>
      <c r="C365" s="91"/>
      <c r="D365" s="14"/>
      <c r="E365" s="495"/>
      <c r="F365" s="500"/>
      <c r="G365" s="197">
        <f t="shared" si="4"/>
        <v>0</v>
      </c>
      <c r="H365" s="178"/>
      <c r="I365" s="178"/>
      <c r="J365" s="197">
        <f t="shared" si="5"/>
        <v>0</v>
      </c>
      <c r="K365" s="181"/>
      <c r="L365" s="181"/>
    </row>
    <row r="366" spans="1:12" s="15" customFormat="1" ht="15">
      <c r="A366" s="195"/>
      <c r="B366" s="83" t="s">
        <v>152</v>
      </c>
      <c r="C366" s="91"/>
      <c r="D366" s="196"/>
      <c r="E366" s="498"/>
      <c r="F366" s="499"/>
      <c r="G366" s="197">
        <f t="shared" si="4"/>
        <v>0</v>
      </c>
      <c r="H366" s="197"/>
      <c r="I366" s="197"/>
      <c r="J366" s="197">
        <f t="shared" si="5"/>
        <v>0</v>
      </c>
      <c r="K366" s="248"/>
      <c r="L366" s="248"/>
    </row>
    <row r="367" spans="1:12" s="15" customFormat="1" ht="83.25" customHeight="1">
      <c r="A367" s="195"/>
      <c r="B367" s="4" t="s">
        <v>268</v>
      </c>
      <c r="C367" s="91" t="s">
        <v>153</v>
      </c>
      <c r="D367" s="14" t="s">
        <v>179</v>
      </c>
      <c r="E367" s="178"/>
      <c r="F367" s="178">
        <v>3</v>
      </c>
      <c r="G367" s="197">
        <f t="shared" si="4"/>
        <v>3</v>
      </c>
      <c r="H367" s="178"/>
      <c r="I367" s="178">
        <v>3</v>
      </c>
      <c r="J367" s="197">
        <f t="shared" si="5"/>
        <v>3</v>
      </c>
      <c r="K367" s="181"/>
      <c r="L367" s="181"/>
    </row>
    <row r="368" spans="1:12" s="15" customFormat="1" ht="25.5" customHeight="1" hidden="1">
      <c r="A368" s="195"/>
      <c r="B368" s="4" t="s">
        <v>168</v>
      </c>
      <c r="C368" s="91" t="s">
        <v>153</v>
      </c>
      <c r="D368" s="196"/>
      <c r="E368" s="200"/>
      <c r="F368" s="197"/>
      <c r="G368" s="197">
        <f t="shared" si="4"/>
        <v>0</v>
      </c>
      <c r="H368" s="200"/>
      <c r="I368" s="197"/>
      <c r="J368" s="197">
        <f t="shared" si="5"/>
        <v>0</v>
      </c>
      <c r="K368" s="250"/>
      <c r="L368" s="248"/>
    </row>
    <row r="369" spans="1:12" s="15" customFormat="1" ht="15">
      <c r="A369" s="195"/>
      <c r="B369" s="83" t="s">
        <v>154</v>
      </c>
      <c r="C369" s="91"/>
      <c r="D369" s="196"/>
      <c r="E369" s="498"/>
      <c r="F369" s="499"/>
      <c r="G369" s="197">
        <f t="shared" si="4"/>
        <v>0</v>
      </c>
      <c r="H369" s="197"/>
      <c r="I369" s="197"/>
      <c r="J369" s="197">
        <f t="shared" si="5"/>
        <v>0</v>
      </c>
      <c r="K369" s="248"/>
      <c r="L369" s="248"/>
    </row>
    <row r="370" spans="1:12" s="15" customFormat="1" ht="24" customHeight="1">
      <c r="A370" s="174"/>
      <c r="B370" s="4" t="s">
        <v>269</v>
      </c>
      <c r="C370" s="91" t="s">
        <v>63</v>
      </c>
      <c r="D370" s="196" t="s">
        <v>109</v>
      </c>
      <c r="E370" s="197"/>
      <c r="F370" s="197">
        <f>F363/F367</f>
        <v>39123.333333333336</v>
      </c>
      <c r="G370" s="197">
        <f t="shared" si="4"/>
        <v>39123.333333333336</v>
      </c>
      <c r="H370" s="197"/>
      <c r="I370" s="197">
        <f>I363/I367</f>
        <v>41275.11666666666</v>
      </c>
      <c r="J370" s="197">
        <f t="shared" si="5"/>
        <v>41275.11666666666</v>
      </c>
      <c r="K370" s="248"/>
      <c r="L370" s="248"/>
    </row>
    <row r="371" spans="1:12" s="15" customFormat="1" ht="22.5" customHeight="1">
      <c r="A371" s="173"/>
      <c r="B371" s="194" t="s">
        <v>51</v>
      </c>
      <c r="C371" s="475" t="s">
        <v>359</v>
      </c>
      <c r="D371" s="475"/>
      <c r="E371" s="475"/>
      <c r="F371" s="475"/>
      <c r="G371" s="475"/>
      <c r="H371" s="475"/>
      <c r="I371" s="475"/>
      <c r="J371" s="341"/>
      <c r="K371" s="247"/>
      <c r="L371" s="247"/>
    </row>
    <row r="372" spans="1:12" s="15" customFormat="1" ht="15">
      <c r="A372" s="195"/>
      <c r="B372" s="83" t="s">
        <v>150</v>
      </c>
      <c r="C372" s="91"/>
      <c r="D372" s="196"/>
      <c r="E372" s="484"/>
      <c r="F372" s="484"/>
      <c r="G372" s="197"/>
      <c r="H372" s="484"/>
      <c r="I372" s="484"/>
      <c r="J372" s="197"/>
      <c r="K372" s="482"/>
      <c r="L372" s="482"/>
    </row>
    <row r="373" spans="1:12" s="15" customFormat="1" ht="39" customHeight="1">
      <c r="A373" s="195"/>
      <c r="B373" s="4" t="s">
        <v>166</v>
      </c>
      <c r="C373" s="91" t="s">
        <v>63</v>
      </c>
      <c r="D373" s="438" t="s">
        <v>401</v>
      </c>
      <c r="E373" s="197">
        <f>K34*1.067</f>
        <v>896280</v>
      </c>
      <c r="F373" s="197"/>
      <c r="G373" s="197">
        <f>E373+F373</f>
        <v>896280</v>
      </c>
      <c r="H373" s="197">
        <f>E373*1.055</f>
        <v>945575.3999999999</v>
      </c>
      <c r="I373" s="198"/>
      <c r="J373" s="197">
        <f>H373</f>
        <v>945575.3999999999</v>
      </c>
      <c r="K373" s="248"/>
      <c r="L373" s="248"/>
    </row>
    <row r="374" spans="1:12" s="15" customFormat="1" ht="27" customHeight="1" hidden="1">
      <c r="A374" s="195"/>
      <c r="B374" s="4"/>
      <c r="C374" s="91"/>
      <c r="D374" s="438"/>
      <c r="E374" s="484"/>
      <c r="F374" s="484"/>
      <c r="G374" s="197">
        <f aca="true" t="shared" si="6" ref="G374:G379">E374+F374</f>
        <v>0</v>
      </c>
      <c r="H374" s="197"/>
      <c r="I374" s="198"/>
      <c r="J374" s="197">
        <f aca="true" t="shared" si="7" ref="J374:J379">H374</f>
        <v>0</v>
      </c>
      <c r="K374" s="248"/>
      <c r="L374" s="248"/>
    </row>
    <row r="375" spans="1:12" s="15" customFormat="1" ht="29.25" customHeight="1" hidden="1">
      <c r="A375" s="195"/>
      <c r="B375" s="4"/>
      <c r="C375" s="91"/>
      <c r="D375" s="14"/>
      <c r="E375" s="485"/>
      <c r="F375" s="485"/>
      <c r="G375" s="197">
        <f t="shared" si="6"/>
        <v>0</v>
      </c>
      <c r="H375" s="178"/>
      <c r="I375" s="179"/>
      <c r="J375" s="197">
        <f t="shared" si="7"/>
        <v>0</v>
      </c>
      <c r="K375" s="181"/>
      <c r="L375" s="181"/>
    </row>
    <row r="376" spans="1:12" s="15" customFormat="1" ht="15">
      <c r="A376" s="195"/>
      <c r="B376" s="83" t="s">
        <v>152</v>
      </c>
      <c r="C376" s="91"/>
      <c r="D376" s="196"/>
      <c r="E376" s="484"/>
      <c r="F376" s="484"/>
      <c r="G376" s="197">
        <f t="shared" si="6"/>
        <v>0</v>
      </c>
      <c r="H376" s="197"/>
      <c r="I376" s="198"/>
      <c r="J376" s="197">
        <f t="shared" si="7"/>
        <v>0</v>
      </c>
      <c r="K376" s="248"/>
      <c r="L376" s="248"/>
    </row>
    <row r="377" spans="1:12" s="15" customFormat="1" ht="85.5" customHeight="1">
      <c r="A377" s="195"/>
      <c r="B377" s="4" t="s">
        <v>360</v>
      </c>
      <c r="C377" s="91" t="s">
        <v>153</v>
      </c>
      <c r="D377" s="14" t="s">
        <v>319</v>
      </c>
      <c r="E377" s="178">
        <v>210</v>
      </c>
      <c r="F377" s="178"/>
      <c r="G377" s="197">
        <f t="shared" si="6"/>
        <v>210</v>
      </c>
      <c r="H377" s="178">
        <v>210</v>
      </c>
      <c r="I377" s="179"/>
      <c r="J377" s="197">
        <f t="shared" si="7"/>
        <v>210</v>
      </c>
      <c r="K377" s="181"/>
      <c r="L377" s="181"/>
    </row>
    <row r="378" spans="1:12" s="15" customFormat="1" ht="15">
      <c r="A378" s="195"/>
      <c r="B378" s="83" t="s">
        <v>154</v>
      </c>
      <c r="C378" s="91"/>
      <c r="D378" s="196"/>
      <c r="E378" s="484"/>
      <c r="F378" s="484"/>
      <c r="G378" s="197">
        <f t="shared" si="6"/>
        <v>0</v>
      </c>
      <c r="H378" s="197"/>
      <c r="I378" s="198"/>
      <c r="J378" s="197">
        <f t="shared" si="7"/>
        <v>0</v>
      </c>
      <c r="K378" s="248"/>
      <c r="L378" s="248"/>
    </row>
    <row r="379" spans="1:12" s="15" customFormat="1" ht="24" customHeight="1">
      <c r="A379" s="174"/>
      <c r="B379" s="4" t="s">
        <v>361</v>
      </c>
      <c r="C379" s="91" t="s">
        <v>63</v>
      </c>
      <c r="D379" s="196" t="s">
        <v>109</v>
      </c>
      <c r="E379" s="197">
        <f>E373/E377</f>
        <v>4268</v>
      </c>
      <c r="F379" s="197"/>
      <c r="G379" s="197">
        <f t="shared" si="6"/>
        <v>4268</v>
      </c>
      <c r="H379" s="197">
        <f>H373/H377</f>
        <v>4502.74</v>
      </c>
      <c r="I379" s="198"/>
      <c r="J379" s="197">
        <f t="shared" si="7"/>
        <v>4502.74</v>
      </c>
      <c r="K379" s="248"/>
      <c r="L379" s="248"/>
    </row>
    <row r="380" spans="1:12" s="15" customFormat="1" ht="27.75" customHeight="1">
      <c r="A380" s="173"/>
      <c r="B380" s="194"/>
      <c r="C380" s="475" t="s">
        <v>202</v>
      </c>
      <c r="D380" s="475"/>
      <c r="E380" s="475"/>
      <c r="F380" s="475"/>
      <c r="G380" s="475"/>
      <c r="H380" s="475"/>
      <c r="I380" s="475"/>
      <c r="J380" s="341"/>
      <c r="K380" s="247"/>
      <c r="L380" s="247"/>
    </row>
    <row r="381" spans="1:12" s="15" customFormat="1" ht="27" customHeight="1">
      <c r="A381" s="173"/>
      <c r="B381" s="194" t="s">
        <v>51</v>
      </c>
      <c r="C381" s="475" t="s">
        <v>203</v>
      </c>
      <c r="D381" s="475"/>
      <c r="E381" s="475"/>
      <c r="F381" s="475"/>
      <c r="G381" s="475"/>
      <c r="H381" s="475"/>
      <c r="I381" s="475"/>
      <c r="J381" s="341"/>
      <c r="K381" s="247"/>
      <c r="L381" s="247"/>
    </row>
    <row r="382" spans="1:12" s="15" customFormat="1" ht="15">
      <c r="A382" s="195"/>
      <c r="B382" s="83" t="s">
        <v>150</v>
      </c>
      <c r="C382" s="91"/>
      <c r="D382" s="196"/>
      <c r="E382" s="484"/>
      <c r="F382" s="484"/>
      <c r="G382" s="197"/>
      <c r="H382" s="484"/>
      <c r="I382" s="484"/>
      <c r="J382" s="197"/>
      <c r="K382" s="482"/>
      <c r="L382" s="482"/>
    </row>
    <row r="383" spans="1:12" s="15" customFormat="1" ht="39" customHeight="1">
      <c r="A383" s="195"/>
      <c r="B383" s="4" t="s">
        <v>166</v>
      </c>
      <c r="C383" s="91" t="s">
        <v>63</v>
      </c>
      <c r="D383" s="2" t="s">
        <v>401</v>
      </c>
      <c r="E383" s="197">
        <f>K45*1.067</f>
        <v>0</v>
      </c>
      <c r="F383" s="197"/>
      <c r="G383" s="197">
        <f>E383+F383</f>
        <v>0</v>
      </c>
      <c r="H383" s="197">
        <f>E383*1.055</f>
        <v>0</v>
      </c>
      <c r="I383" s="198"/>
      <c r="J383" s="197">
        <f>H383</f>
        <v>0</v>
      </c>
      <c r="K383" s="248"/>
      <c r="L383" s="249"/>
    </row>
    <row r="384" spans="1:12" s="15" customFormat="1" ht="15">
      <c r="A384" s="195"/>
      <c r="B384" s="83" t="s">
        <v>152</v>
      </c>
      <c r="C384" s="91"/>
      <c r="D384" s="196"/>
      <c r="E384" s="484"/>
      <c r="F384" s="484"/>
      <c r="G384" s="197">
        <f>E384+F384</f>
        <v>0</v>
      </c>
      <c r="H384" s="197"/>
      <c r="I384" s="198"/>
      <c r="J384" s="197">
        <f>H384</f>
        <v>0</v>
      </c>
      <c r="K384" s="248"/>
      <c r="L384" s="249"/>
    </row>
    <row r="385" spans="1:12" s="15" customFormat="1" ht="99" customHeight="1">
      <c r="A385" s="195"/>
      <c r="B385" s="4" t="s">
        <v>204</v>
      </c>
      <c r="C385" s="91" t="s">
        <v>153</v>
      </c>
      <c r="D385" s="14" t="s">
        <v>180</v>
      </c>
      <c r="E385" s="178">
        <v>50</v>
      </c>
      <c r="F385" s="178"/>
      <c r="G385" s="197">
        <f>E385+F385</f>
        <v>50</v>
      </c>
      <c r="H385" s="178">
        <v>50</v>
      </c>
      <c r="I385" s="179"/>
      <c r="J385" s="197">
        <f>H385</f>
        <v>50</v>
      </c>
      <c r="K385" s="181"/>
      <c r="L385" s="182"/>
    </row>
    <row r="386" spans="1:12" s="15" customFormat="1" ht="15">
      <c r="A386" s="195"/>
      <c r="B386" s="83" t="s">
        <v>154</v>
      </c>
      <c r="C386" s="91"/>
      <c r="D386" s="196"/>
      <c r="E386" s="484"/>
      <c r="F386" s="484"/>
      <c r="G386" s="197">
        <f>E386+F386</f>
        <v>0</v>
      </c>
      <c r="H386" s="197"/>
      <c r="I386" s="198"/>
      <c r="J386" s="197">
        <f>H386</f>
        <v>0</v>
      </c>
      <c r="K386" s="248"/>
      <c r="L386" s="249"/>
    </row>
    <row r="387" spans="1:12" s="15" customFormat="1" ht="24" customHeight="1">
      <c r="A387" s="174"/>
      <c r="B387" s="4" t="s">
        <v>205</v>
      </c>
      <c r="C387" s="91" t="s">
        <v>63</v>
      </c>
      <c r="D387" s="196" t="s">
        <v>109</v>
      </c>
      <c r="E387" s="197">
        <f>E383/E385</f>
        <v>0</v>
      </c>
      <c r="F387" s="197"/>
      <c r="G387" s="197">
        <f>E387+F387</f>
        <v>0</v>
      </c>
      <c r="H387" s="197">
        <f>H383/H385</f>
        <v>0</v>
      </c>
      <c r="I387" s="198"/>
      <c r="J387" s="197">
        <f>H387</f>
        <v>0</v>
      </c>
      <c r="K387" s="248"/>
      <c r="L387" s="249"/>
    </row>
    <row r="388" spans="1:12" s="245" customFormat="1" ht="27.75" customHeight="1" hidden="1">
      <c r="A388" s="243"/>
      <c r="B388" s="244"/>
      <c r="C388" s="506" t="s">
        <v>202</v>
      </c>
      <c r="D388" s="507"/>
      <c r="E388" s="507"/>
      <c r="F388" s="507"/>
      <c r="G388" s="507"/>
      <c r="H388" s="507"/>
      <c r="I388" s="507"/>
      <c r="J388" s="508"/>
      <c r="K388" s="508"/>
      <c r="L388" s="509"/>
    </row>
    <row r="389" spans="1:12" s="15" customFormat="1" ht="27" customHeight="1">
      <c r="A389" s="173"/>
      <c r="B389" s="194" t="s">
        <v>51</v>
      </c>
      <c r="C389" s="475" t="s">
        <v>372</v>
      </c>
      <c r="D389" s="475"/>
      <c r="E389" s="475"/>
      <c r="F389" s="475"/>
      <c r="G389" s="475"/>
      <c r="H389" s="475"/>
      <c r="I389" s="490"/>
      <c r="J389" s="341"/>
      <c r="K389" s="247"/>
      <c r="L389" s="247"/>
    </row>
    <row r="390" spans="1:12" s="15" customFormat="1" ht="15">
      <c r="A390" s="195"/>
      <c r="B390" s="83" t="s">
        <v>150</v>
      </c>
      <c r="C390" s="91"/>
      <c r="D390" s="196"/>
      <c r="E390" s="484"/>
      <c r="F390" s="484"/>
      <c r="G390" s="197"/>
      <c r="H390" s="484"/>
      <c r="I390" s="498"/>
      <c r="J390" s="197"/>
      <c r="K390" s="482"/>
      <c r="L390" s="482"/>
    </row>
    <row r="391" spans="1:12" s="15" customFormat="1" ht="39" customHeight="1">
      <c r="A391" s="195"/>
      <c r="B391" s="4" t="s">
        <v>166</v>
      </c>
      <c r="C391" s="91" t="s">
        <v>63</v>
      </c>
      <c r="D391" s="438" t="s">
        <v>401</v>
      </c>
      <c r="E391" s="197"/>
      <c r="F391" s="197">
        <f>L56*1.067</f>
        <v>160050</v>
      </c>
      <c r="G391" s="197">
        <f>F391</f>
        <v>160050</v>
      </c>
      <c r="H391" s="197"/>
      <c r="I391" s="269">
        <f>F391*1.055</f>
        <v>168852.75</v>
      </c>
      <c r="J391" s="197">
        <f>I391</f>
        <v>168852.75</v>
      </c>
      <c r="K391" s="248"/>
      <c r="L391" s="248"/>
    </row>
    <row r="392" spans="1:12" s="15" customFormat="1" ht="27" customHeight="1" hidden="1">
      <c r="A392" s="195"/>
      <c r="B392" s="4"/>
      <c r="C392" s="91"/>
      <c r="D392" s="438"/>
      <c r="E392" s="484"/>
      <c r="F392" s="484"/>
      <c r="G392" s="197">
        <f aca="true" t="shared" si="8" ref="G392:G398">F392</f>
        <v>0</v>
      </c>
      <c r="H392" s="197"/>
      <c r="I392" s="269"/>
      <c r="J392" s="197">
        <f aca="true" t="shared" si="9" ref="J392:J398">I392</f>
        <v>0</v>
      </c>
      <c r="K392" s="248"/>
      <c r="L392" s="248"/>
    </row>
    <row r="393" spans="1:12" s="15" customFormat="1" ht="29.25" customHeight="1" hidden="1">
      <c r="A393" s="195"/>
      <c r="B393" s="4"/>
      <c r="C393" s="91"/>
      <c r="D393" s="14"/>
      <c r="E393" s="485"/>
      <c r="F393" s="485"/>
      <c r="G393" s="197">
        <f t="shared" si="8"/>
        <v>0</v>
      </c>
      <c r="H393" s="178"/>
      <c r="I393" s="342"/>
      <c r="J393" s="197">
        <f t="shared" si="9"/>
        <v>0</v>
      </c>
      <c r="K393" s="181"/>
      <c r="L393" s="181"/>
    </row>
    <row r="394" spans="1:12" s="15" customFormat="1" ht="15">
      <c r="A394" s="195"/>
      <c r="B394" s="83" t="s">
        <v>152</v>
      </c>
      <c r="C394" s="91"/>
      <c r="D394" s="196"/>
      <c r="E394" s="484"/>
      <c r="F394" s="484"/>
      <c r="G394" s="197">
        <f t="shared" si="8"/>
        <v>0</v>
      </c>
      <c r="H394" s="197"/>
      <c r="I394" s="269"/>
      <c r="J394" s="197">
        <f t="shared" si="9"/>
        <v>0</v>
      </c>
      <c r="K394" s="248"/>
      <c r="L394" s="248"/>
    </row>
    <row r="395" spans="1:12" s="15" customFormat="1" ht="99" customHeight="1">
      <c r="A395" s="195"/>
      <c r="B395" s="4" t="s">
        <v>373</v>
      </c>
      <c r="C395" s="91" t="s">
        <v>153</v>
      </c>
      <c r="D395" s="14" t="s">
        <v>180</v>
      </c>
      <c r="E395" s="178"/>
      <c r="F395" s="178">
        <v>150</v>
      </c>
      <c r="G395" s="197">
        <f t="shared" si="8"/>
        <v>150</v>
      </c>
      <c r="H395" s="178"/>
      <c r="I395" s="342">
        <v>150</v>
      </c>
      <c r="J395" s="197">
        <f t="shared" si="9"/>
        <v>150</v>
      </c>
      <c r="K395" s="181"/>
      <c r="L395" s="181"/>
    </row>
    <row r="396" spans="1:12" s="15" customFormat="1" ht="25.5" customHeight="1" hidden="1">
      <c r="A396" s="195"/>
      <c r="B396" s="4" t="s">
        <v>168</v>
      </c>
      <c r="C396" s="91" t="s">
        <v>153</v>
      </c>
      <c r="D396" s="196"/>
      <c r="E396" s="200"/>
      <c r="F396" s="197"/>
      <c r="G396" s="197">
        <f t="shared" si="8"/>
        <v>0</v>
      </c>
      <c r="H396" s="200"/>
      <c r="I396" s="269"/>
      <c r="J396" s="197">
        <f t="shared" si="9"/>
        <v>0</v>
      </c>
      <c r="K396" s="250"/>
      <c r="L396" s="248"/>
    </row>
    <row r="397" spans="1:12" s="15" customFormat="1" ht="15">
      <c r="A397" s="195"/>
      <c r="B397" s="83" t="s">
        <v>154</v>
      </c>
      <c r="C397" s="91"/>
      <c r="D397" s="196"/>
      <c r="E397" s="498"/>
      <c r="F397" s="499"/>
      <c r="G397" s="197">
        <f t="shared" si="8"/>
        <v>0</v>
      </c>
      <c r="H397" s="197"/>
      <c r="I397" s="269"/>
      <c r="J397" s="197">
        <f t="shared" si="9"/>
        <v>0</v>
      </c>
      <c r="K397" s="248"/>
      <c r="L397" s="248"/>
    </row>
    <row r="398" spans="1:12" s="15" customFormat="1" ht="24" customHeight="1">
      <c r="A398" s="174"/>
      <c r="B398" s="4" t="s">
        <v>374</v>
      </c>
      <c r="C398" s="91" t="s">
        <v>63</v>
      </c>
      <c r="D398" s="196" t="s">
        <v>109</v>
      </c>
      <c r="E398" s="197" t="e">
        <f>E391/E395</f>
        <v>#DIV/0!</v>
      </c>
      <c r="F398" s="197">
        <f>F391/F395</f>
        <v>1067</v>
      </c>
      <c r="G398" s="197">
        <f t="shared" si="8"/>
        <v>1067</v>
      </c>
      <c r="H398" s="197" t="e">
        <f>H391/H395</f>
        <v>#DIV/0!</v>
      </c>
      <c r="I398" s="269">
        <f>I391/I395</f>
        <v>1125.685</v>
      </c>
      <c r="J398" s="197">
        <f t="shared" si="9"/>
        <v>1125.685</v>
      </c>
      <c r="K398" s="248"/>
      <c r="L398" s="248"/>
    </row>
    <row r="399" spans="1:12" s="15" customFormat="1" ht="27" customHeight="1">
      <c r="A399" s="173"/>
      <c r="B399" s="194" t="s">
        <v>51</v>
      </c>
      <c r="C399" s="475" t="s">
        <v>271</v>
      </c>
      <c r="D399" s="475"/>
      <c r="E399" s="475"/>
      <c r="F399" s="475"/>
      <c r="G399" s="475"/>
      <c r="H399" s="475"/>
      <c r="I399" s="490"/>
      <c r="J399" s="341"/>
      <c r="K399" s="247"/>
      <c r="L399" s="247"/>
    </row>
    <row r="400" spans="1:12" s="15" customFormat="1" ht="15">
      <c r="A400" s="195"/>
      <c r="B400" s="83" t="s">
        <v>150</v>
      </c>
      <c r="C400" s="91"/>
      <c r="D400" s="196"/>
      <c r="E400" s="484"/>
      <c r="F400" s="484"/>
      <c r="G400" s="197"/>
      <c r="H400" s="484"/>
      <c r="I400" s="498"/>
      <c r="J400" s="197"/>
      <c r="K400" s="482"/>
      <c r="L400" s="482"/>
    </row>
    <row r="401" spans="1:12" s="15" customFormat="1" ht="30" customHeight="1">
      <c r="A401" s="195"/>
      <c r="B401" s="4" t="s">
        <v>166</v>
      </c>
      <c r="C401" s="91" t="s">
        <v>63</v>
      </c>
      <c r="D401" s="438" t="s">
        <v>401</v>
      </c>
      <c r="E401" s="197"/>
      <c r="F401" s="197">
        <f>L66*1.067</f>
        <v>2077982.5</v>
      </c>
      <c r="G401" s="197">
        <f>F401</f>
        <v>2077982.5</v>
      </c>
      <c r="H401" s="197"/>
      <c r="I401" s="269">
        <f>F401*1.055</f>
        <v>2192271.5375</v>
      </c>
      <c r="J401" s="197">
        <f>I401</f>
        <v>2192271.5375</v>
      </c>
      <c r="K401" s="248"/>
      <c r="L401" s="248"/>
    </row>
    <row r="402" spans="1:12" s="15" customFormat="1" ht="27" customHeight="1" hidden="1">
      <c r="A402" s="195"/>
      <c r="B402" s="4"/>
      <c r="C402" s="91"/>
      <c r="D402" s="438"/>
      <c r="E402" s="484"/>
      <c r="F402" s="484"/>
      <c r="G402" s="197">
        <f aca="true" t="shared" si="10" ref="G402:G409">F402</f>
        <v>0</v>
      </c>
      <c r="H402" s="197"/>
      <c r="I402" s="269"/>
      <c r="J402" s="197">
        <f aca="true" t="shared" si="11" ref="J402:J409">I402</f>
        <v>0</v>
      </c>
      <c r="K402" s="248"/>
      <c r="L402" s="248"/>
    </row>
    <row r="403" spans="1:12" s="15" customFormat="1" ht="29.25" customHeight="1" hidden="1">
      <c r="A403" s="195"/>
      <c r="B403" s="4"/>
      <c r="C403" s="91"/>
      <c r="D403" s="14"/>
      <c r="E403" s="485"/>
      <c r="F403" s="485"/>
      <c r="G403" s="197">
        <f t="shared" si="10"/>
        <v>0</v>
      </c>
      <c r="H403" s="178"/>
      <c r="I403" s="342"/>
      <c r="J403" s="197">
        <f t="shared" si="11"/>
        <v>0</v>
      </c>
      <c r="K403" s="181"/>
      <c r="L403" s="181"/>
    </row>
    <row r="404" spans="1:12" s="15" customFormat="1" ht="15">
      <c r="A404" s="195"/>
      <c r="B404" s="83" t="s">
        <v>152</v>
      </c>
      <c r="C404" s="91"/>
      <c r="D404" s="196"/>
      <c r="E404" s="484"/>
      <c r="F404" s="484"/>
      <c r="G404" s="197">
        <f t="shared" si="10"/>
        <v>0</v>
      </c>
      <c r="H404" s="197"/>
      <c r="I404" s="269"/>
      <c r="J404" s="197">
        <f t="shared" si="11"/>
        <v>0</v>
      </c>
      <c r="K404" s="248"/>
      <c r="L404" s="248"/>
    </row>
    <row r="405" spans="1:12" s="15" customFormat="1" ht="75" customHeight="1">
      <c r="A405" s="195"/>
      <c r="B405" s="4" t="s">
        <v>402</v>
      </c>
      <c r="C405" s="91" t="s">
        <v>153</v>
      </c>
      <c r="D405" s="483" t="s">
        <v>179</v>
      </c>
      <c r="E405" s="178"/>
      <c r="F405" s="178">
        <v>218</v>
      </c>
      <c r="G405" s="197">
        <f t="shared" si="10"/>
        <v>218</v>
      </c>
      <c r="H405" s="178"/>
      <c r="I405" s="342">
        <v>230</v>
      </c>
      <c r="J405" s="197">
        <f t="shared" si="11"/>
        <v>230</v>
      </c>
      <c r="K405" s="181"/>
      <c r="L405" s="181"/>
    </row>
    <row r="406" spans="1:12" s="15" customFormat="1" ht="25.5" customHeight="1" hidden="1">
      <c r="A406" s="195"/>
      <c r="B406" s="4" t="s">
        <v>168</v>
      </c>
      <c r="C406" s="91" t="s">
        <v>153</v>
      </c>
      <c r="D406" s="483"/>
      <c r="E406" s="200"/>
      <c r="F406" s="197"/>
      <c r="G406" s="197">
        <f t="shared" si="10"/>
        <v>0</v>
      </c>
      <c r="H406" s="200"/>
      <c r="I406" s="269"/>
      <c r="J406" s="197">
        <f t="shared" si="11"/>
        <v>0</v>
      </c>
      <c r="K406" s="250"/>
      <c r="L406" s="248"/>
    </row>
    <row r="407" spans="1:12" s="15" customFormat="1" ht="45" customHeight="1" hidden="1">
      <c r="A407" s="195"/>
      <c r="B407" s="4" t="s">
        <v>278</v>
      </c>
      <c r="C407" s="91" t="s">
        <v>153</v>
      </c>
      <c r="D407" s="483"/>
      <c r="E407" s="178"/>
      <c r="F407" s="178"/>
      <c r="G407" s="197">
        <f t="shared" si="10"/>
        <v>0</v>
      </c>
      <c r="H407" s="178"/>
      <c r="I407" s="342"/>
      <c r="J407" s="197">
        <f t="shared" si="11"/>
        <v>0</v>
      </c>
      <c r="K407" s="181"/>
      <c r="L407" s="181"/>
    </row>
    <row r="408" spans="1:12" s="15" customFormat="1" ht="15">
      <c r="A408" s="195"/>
      <c r="B408" s="83" t="s">
        <v>154</v>
      </c>
      <c r="C408" s="91"/>
      <c r="D408" s="196"/>
      <c r="E408" s="484"/>
      <c r="F408" s="484"/>
      <c r="G408" s="197">
        <f t="shared" si="10"/>
        <v>0</v>
      </c>
      <c r="H408" s="197"/>
      <c r="I408" s="269"/>
      <c r="J408" s="197">
        <f t="shared" si="11"/>
        <v>0</v>
      </c>
      <c r="K408" s="248"/>
      <c r="L408" s="248"/>
    </row>
    <row r="409" spans="1:12" s="15" customFormat="1" ht="24" customHeight="1">
      <c r="A409" s="174"/>
      <c r="B409" s="4" t="s">
        <v>403</v>
      </c>
      <c r="C409" s="91" t="s">
        <v>63</v>
      </c>
      <c r="D409" s="196" t="s">
        <v>109</v>
      </c>
      <c r="E409" s="197"/>
      <c r="F409" s="197">
        <f>F401/F405</f>
        <v>9532.029816513761</v>
      </c>
      <c r="G409" s="197">
        <f t="shared" si="10"/>
        <v>9532.029816513761</v>
      </c>
      <c r="H409" s="197"/>
      <c r="I409" s="269">
        <f>I401/I405</f>
        <v>9531.615380434783</v>
      </c>
      <c r="J409" s="197">
        <f t="shared" si="11"/>
        <v>9531.615380434783</v>
      </c>
      <c r="K409" s="248"/>
      <c r="L409" s="248"/>
    </row>
    <row r="410" spans="1:12" s="15" customFormat="1" ht="24" customHeight="1" hidden="1">
      <c r="A410" s="174"/>
      <c r="B410" s="4" t="s">
        <v>280</v>
      </c>
      <c r="C410" s="91" t="s">
        <v>63</v>
      </c>
      <c r="D410" s="196" t="s">
        <v>109</v>
      </c>
      <c r="E410" s="197"/>
      <c r="F410" s="197"/>
      <c r="G410" s="197"/>
      <c r="H410" s="197"/>
      <c r="I410" s="269">
        <f>F410*1.058</f>
        <v>0</v>
      </c>
      <c r="J410" s="197"/>
      <c r="K410" s="248"/>
      <c r="L410" s="248"/>
    </row>
    <row r="411" spans="1:12" s="15" customFormat="1" ht="27" customHeight="1">
      <c r="A411" s="173"/>
      <c r="B411" s="194" t="s">
        <v>51</v>
      </c>
      <c r="C411" s="475" t="s">
        <v>379</v>
      </c>
      <c r="D411" s="475"/>
      <c r="E411" s="475"/>
      <c r="F411" s="475"/>
      <c r="G411" s="475"/>
      <c r="H411" s="475"/>
      <c r="I411" s="490"/>
      <c r="J411" s="341"/>
      <c r="K411" s="247"/>
      <c r="L411" s="252"/>
    </row>
    <row r="412" spans="1:12" s="15" customFormat="1" ht="15">
      <c r="A412" s="195"/>
      <c r="B412" s="83" t="s">
        <v>150</v>
      </c>
      <c r="C412" s="91"/>
      <c r="D412" s="196"/>
      <c r="E412" s="484"/>
      <c r="F412" s="484"/>
      <c r="G412" s="197"/>
      <c r="H412" s="484"/>
      <c r="I412" s="498"/>
      <c r="J412" s="197"/>
      <c r="K412" s="482"/>
      <c r="L412" s="482"/>
    </row>
    <row r="413" spans="1:12" s="15" customFormat="1" ht="30" customHeight="1">
      <c r="A413" s="195"/>
      <c r="B413" s="4" t="s">
        <v>166</v>
      </c>
      <c r="C413" s="91" t="s">
        <v>63</v>
      </c>
      <c r="D413" s="438" t="s">
        <v>401</v>
      </c>
      <c r="E413" s="197">
        <f>K85*1.067</f>
        <v>139243.5</v>
      </c>
      <c r="F413" s="197">
        <f>L85*1.067</f>
        <v>464145</v>
      </c>
      <c r="G413" s="197">
        <f>E413+F413</f>
        <v>603388.5</v>
      </c>
      <c r="H413" s="197">
        <f>E413*1.055</f>
        <v>146901.8925</v>
      </c>
      <c r="I413" s="269">
        <f>F413*1.055</f>
        <v>489672.975</v>
      </c>
      <c r="J413" s="197">
        <f>H413+I413</f>
        <v>636574.8674999999</v>
      </c>
      <c r="K413" s="248"/>
      <c r="L413" s="248"/>
    </row>
    <row r="414" spans="1:12" s="15" customFormat="1" ht="27" customHeight="1" hidden="1">
      <c r="A414" s="195"/>
      <c r="B414" s="4"/>
      <c r="C414" s="91"/>
      <c r="D414" s="438"/>
      <c r="E414" s="484"/>
      <c r="F414" s="484"/>
      <c r="G414" s="197">
        <f aca="true" t="shared" si="12" ref="G414:G420">E414+F414</f>
        <v>0</v>
      </c>
      <c r="H414" s="197"/>
      <c r="I414" s="269"/>
      <c r="J414" s="197">
        <f aca="true" t="shared" si="13" ref="J414:J420">H414+I414</f>
        <v>0</v>
      </c>
      <c r="K414" s="248"/>
      <c r="L414" s="248"/>
    </row>
    <row r="415" spans="1:12" s="15" customFormat="1" ht="29.25" customHeight="1" hidden="1">
      <c r="A415" s="195"/>
      <c r="B415" s="4"/>
      <c r="C415" s="91"/>
      <c r="D415" s="14"/>
      <c r="E415" s="485"/>
      <c r="F415" s="485"/>
      <c r="G415" s="197">
        <f t="shared" si="12"/>
        <v>0</v>
      </c>
      <c r="H415" s="178"/>
      <c r="I415" s="342"/>
      <c r="J415" s="197">
        <f t="shared" si="13"/>
        <v>0</v>
      </c>
      <c r="K415" s="181"/>
      <c r="L415" s="181"/>
    </row>
    <row r="416" spans="1:12" s="15" customFormat="1" ht="15">
      <c r="A416" s="195"/>
      <c r="B416" s="83" t="s">
        <v>152</v>
      </c>
      <c r="C416" s="91"/>
      <c r="D416" s="196"/>
      <c r="E416" s="484"/>
      <c r="F416" s="484"/>
      <c r="G416" s="197">
        <f t="shared" si="12"/>
        <v>0</v>
      </c>
      <c r="H416" s="197"/>
      <c r="I416" s="269"/>
      <c r="J416" s="197">
        <f t="shared" si="13"/>
        <v>0</v>
      </c>
      <c r="K416" s="248"/>
      <c r="L416" s="248"/>
    </row>
    <row r="417" spans="1:12" s="15" customFormat="1" ht="84" customHeight="1">
      <c r="A417" s="195"/>
      <c r="B417" s="4" t="s">
        <v>274</v>
      </c>
      <c r="C417" s="91" t="s">
        <v>153</v>
      </c>
      <c r="D417" s="14" t="s">
        <v>179</v>
      </c>
      <c r="E417" s="178">
        <f>K90</f>
        <v>35</v>
      </c>
      <c r="F417" s="178">
        <f>L89</f>
        <v>44</v>
      </c>
      <c r="G417" s="197">
        <f t="shared" si="12"/>
        <v>79</v>
      </c>
      <c r="H417" s="178">
        <f>E417</f>
        <v>35</v>
      </c>
      <c r="I417" s="342">
        <f>F417</f>
        <v>44</v>
      </c>
      <c r="J417" s="197">
        <f t="shared" si="13"/>
        <v>79</v>
      </c>
      <c r="K417" s="181"/>
      <c r="L417" s="181"/>
    </row>
    <row r="418" spans="1:12" s="15" customFormat="1" ht="25.5" customHeight="1" hidden="1">
      <c r="A418" s="195"/>
      <c r="B418" s="4" t="s">
        <v>168</v>
      </c>
      <c r="C418" s="91" t="s">
        <v>153</v>
      </c>
      <c r="D418" s="196"/>
      <c r="E418" s="200"/>
      <c r="F418" s="197"/>
      <c r="G418" s="197">
        <f t="shared" si="12"/>
        <v>0</v>
      </c>
      <c r="H418" s="200"/>
      <c r="I418" s="269"/>
      <c r="J418" s="197">
        <f t="shared" si="13"/>
        <v>0</v>
      </c>
      <c r="K418" s="250"/>
      <c r="L418" s="248"/>
    </row>
    <row r="419" spans="1:12" s="15" customFormat="1" ht="15">
      <c r="A419" s="195"/>
      <c r="B419" s="83" t="s">
        <v>154</v>
      </c>
      <c r="C419" s="91"/>
      <c r="D419" s="196"/>
      <c r="E419" s="484"/>
      <c r="F419" s="484"/>
      <c r="G419" s="197">
        <f t="shared" si="12"/>
        <v>0</v>
      </c>
      <c r="H419" s="197"/>
      <c r="I419" s="269"/>
      <c r="J419" s="197">
        <f t="shared" si="13"/>
        <v>0</v>
      </c>
      <c r="K419" s="248"/>
      <c r="L419" s="248"/>
    </row>
    <row r="420" spans="1:12" s="15" customFormat="1" ht="32.25" customHeight="1">
      <c r="A420" s="174"/>
      <c r="B420" s="4" t="s">
        <v>286</v>
      </c>
      <c r="C420" s="91" t="s">
        <v>63</v>
      </c>
      <c r="D420" s="196" t="s">
        <v>109</v>
      </c>
      <c r="E420" s="197">
        <f>E413/E417</f>
        <v>3978.385714285714</v>
      </c>
      <c r="F420" s="197">
        <f>F413/F417</f>
        <v>10548.75</v>
      </c>
      <c r="G420" s="197">
        <f t="shared" si="12"/>
        <v>14527.135714285714</v>
      </c>
      <c r="H420" s="197">
        <f>H413/H417</f>
        <v>4197.1969285714285</v>
      </c>
      <c r="I420" s="269">
        <f>I413/I417</f>
        <v>11128.93125</v>
      </c>
      <c r="J420" s="197">
        <f t="shared" si="13"/>
        <v>15326.128178571427</v>
      </c>
      <c r="K420" s="248"/>
      <c r="L420" s="248"/>
    </row>
    <row r="421" spans="1:12" s="15" customFormat="1" ht="27" customHeight="1">
      <c r="A421" s="173"/>
      <c r="B421" s="194" t="s">
        <v>51</v>
      </c>
      <c r="C421" s="475" t="s">
        <v>377</v>
      </c>
      <c r="D421" s="475"/>
      <c r="E421" s="475"/>
      <c r="F421" s="475"/>
      <c r="G421" s="475"/>
      <c r="H421" s="475"/>
      <c r="I421" s="490"/>
      <c r="J421" s="341"/>
      <c r="K421" s="247"/>
      <c r="L421" s="252"/>
    </row>
    <row r="422" spans="1:12" s="15" customFormat="1" ht="15">
      <c r="A422" s="195"/>
      <c r="B422" s="83" t="s">
        <v>150</v>
      </c>
      <c r="C422" s="91"/>
      <c r="D422" s="196"/>
      <c r="E422" s="498"/>
      <c r="F422" s="499"/>
      <c r="G422" s="197"/>
      <c r="H422" s="484"/>
      <c r="I422" s="498"/>
      <c r="J422" s="197"/>
      <c r="K422" s="482"/>
      <c r="L422" s="482"/>
    </row>
    <row r="423" spans="1:12" s="15" customFormat="1" ht="30" customHeight="1">
      <c r="A423" s="195"/>
      <c r="B423" s="4" t="s">
        <v>166</v>
      </c>
      <c r="C423" s="91" t="s">
        <v>63</v>
      </c>
      <c r="D423" s="469" t="s">
        <v>401</v>
      </c>
      <c r="E423" s="197">
        <f>K95*1.067</f>
        <v>232072.5</v>
      </c>
      <c r="F423" s="197">
        <f>L95*1.067</f>
        <v>752235</v>
      </c>
      <c r="G423" s="197">
        <f>E423+F423</f>
        <v>984307.5</v>
      </c>
      <c r="H423" s="197">
        <f>E423*1.055</f>
        <v>244836.4875</v>
      </c>
      <c r="I423" s="269">
        <f>F423*1.055</f>
        <v>793607.9249999999</v>
      </c>
      <c r="J423" s="197">
        <f>H423+I423</f>
        <v>1038444.4124999999</v>
      </c>
      <c r="K423" s="248"/>
      <c r="L423" s="248"/>
    </row>
    <row r="424" spans="1:12" s="15" customFormat="1" ht="27" customHeight="1" hidden="1">
      <c r="A424" s="195"/>
      <c r="B424" s="4"/>
      <c r="C424" s="91"/>
      <c r="D424" s="474"/>
      <c r="E424" s="498"/>
      <c r="F424" s="499"/>
      <c r="G424" s="197">
        <f aca="true" t="shared" si="14" ref="G424:G429">E424+F424</f>
        <v>0</v>
      </c>
      <c r="H424" s="197"/>
      <c r="I424" s="269"/>
      <c r="J424" s="197">
        <f aca="true" t="shared" si="15" ref="J424:J429">H424+I424</f>
        <v>0</v>
      </c>
      <c r="K424" s="248"/>
      <c r="L424" s="248"/>
    </row>
    <row r="425" spans="1:12" s="15" customFormat="1" ht="29.25" customHeight="1" hidden="1">
      <c r="A425" s="195"/>
      <c r="B425" s="4"/>
      <c r="C425" s="91"/>
      <c r="D425" s="14"/>
      <c r="E425" s="495"/>
      <c r="F425" s="500"/>
      <c r="G425" s="197">
        <f t="shared" si="14"/>
        <v>0</v>
      </c>
      <c r="H425" s="178"/>
      <c r="I425" s="342"/>
      <c r="J425" s="197">
        <f t="shared" si="15"/>
        <v>0</v>
      </c>
      <c r="K425" s="181"/>
      <c r="L425" s="181"/>
    </row>
    <row r="426" spans="1:12" s="15" customFormat="1" ht="15">
      <c r="A426" s="195"/>
      <c r="B426" s="83" t="s">
        <v>152</v>
      </c>
      <c r="C426" s="91"/>
      <c r="D426" s="196"/>
      <c r="E426" s="498"/>
      <c r="F426" s="499"/>
      <c r="G426" s="197">
        <f t="shared" si="14"/>
        <v>0</v>
      </c>
      <c r="H426" s="197"/>
      <c r="I426" s="269"/>
      <c r="J426" s="197">
        <f t="shared" si="15"/>
        <v>0</v>
      </c>
      <c r="K426" s="248"/>
      <c r="L426" s="248"/>
    </row>
    <row r="427" spans="1:12" s="15" customFormat="1" ht="99" customHeight="1">
      <c r="A427" s="195"/>
      <c r="B427" s="4" t="s">
        <v>275</v>
      </c>
      <c r="C427" s="91" t="s">
        <v>153</v>
      </c>
      <c r="D427" s="14" t="s">
        <v>179</v>
      </c>
      <c r="E427" s="178">
        <f>K99</f>
        <v>725</v>
      </c>
      <c r="F427" s="178">
        <f>L99</f>
        <v>24</v>
      </c>
      <c r="G427" s="197">
        <f t="shared" si="14"/>
        <v>749</v>
      </c>
      <c r="H427" s="178">
        <f>E427</f>
        <v>725</v>
      </c>
      <c r="I427" s="342">
        <f>F427</f>
        <v>24</v>
      </c>
      <c r="J427" s="197">
        <f t="shared" si="15"/>
        <v>749</v>
      </c>
      <c r="K427" s="181"/>
      <c r="L427" s="181"/>
    </row>
    <row r="428" spans="1:12" s="15" customFormat="1" ht="25.5" customHeight="1" hidden="1">
      <c r="A428" s="195"/>
      <c r="B428" s="4" t="s">
        <v>168</v>
      </c>
      <c r="C428" s="91" t="s">
        <v>153</v>
      </c>
      <c r="D428" s="196"/>
      <c r="E428" s="200"/>
      <c r="F428" s="197"/>
      <c r="G428" s="197">
        <f t="shared" si="14"/>
        <v>0</v>
      </c>
      <c r="H428" s="200"/>
      <c r="I428" s="269"/>
      <c r="J428" s="197">
        <f t="shared" si="15"/>
        <v>0</v>
      </c>
      <c r="K428" s="250"/>
      <c r="L428" s="248"/>
    </row>
    <row r="429" spans="1:12" s="15" customFormat="1" ht="15">
      <c r="A429" s="195"/>
      <c r="B429" s="83" t="s">
        <v>154</v>
      </c>
      <c r="C429" s="91"/>
      <c r="D429" s="196"/>
      <c r="E429" s="498"/>
      <c r="F429" s="499"/>
      <c r="G429" s="197">
        <f t="shared" si="14"/>
        <v>0</v>
      </c>
      <c r="H429" s="197"/>
      <c r="I429" s="269"/>
      <c r="J429" s="197">
        <f t="shared" si="15"/>
        <v>0</v>
      </c>
      <c r="K429" s="248"/>
      <c r="L429" s="248"/>
    </row>
    <row r="430" spans="1:12" s="15" customFormat="1" ht="33.75" customHeight="1">
      <c r="A430" s="174"/>
      <c r="B430" s="4" t="s">
        <v>286</v>
      </c>
      <c r="C430" s="91" t="s">
        <v>63</v>
      </c>
      <c r="D430" s="196" t="s">
        <v>109</v>
      </c>
      <c r="E430" s="197">
        <f aca="true" t="shared" si="16" ref="E430:J430">E423/E427</f>
        <v>320.1</v>
      </c>
      <c r="F430" s="197">
        <f t="shared" si="16"/>
        <v>31343.125</v>
      </c>
      <c r="G430" s="197">
        <f t="shared" si="16"/>
        <v>1314.1622162883846</v>
      </c>
      <c r="H430" s="197">
        <f t="shared" si="16"/>
        <v>337.7055</v>
      </c>
      <c r="I430" s="269">
        <f t="shared" si="16"/>
        <v>33066.996875</v>
      </c>
      <c r="J430" s="197">
        <f t="shared" si="16"/>
        <v>1386.4411381842456</v>
      </c>
      <c r="K430" s="248"/>
      <c r="L430" s="248"/>
    </row>
    <row r="431" spans="1:12" s="15" customFormat="1" ht="27" customHeight="1">
      <c r="A431" s="173"/>
      <c r="B431" s="194" t="s">
        <v>51</v>
      </c>
      <c r="C431" s="475" t="s">
        <v>206</v>
      </c>
      <c r="D431" s="475"/>
      <c r="E431" s="475"/>
      <c r="F431" s="475"/>
      <c r="G431" s="475"/>
      <c r="H431" s="475"/>
      <c r="I431" s="490"/>
      <c r="J431" s="341"/>
      <c r="K431" s="247"/>
      <c r="L431" s="247"/>
    </row>
    <row r="432" spans="1:12" s="15" customFormat="1" ht="15">
      <c r="A432" s="195"/>
      <c r="B432" s="83" t="s">
        <v>150</v>
      </c>
      <c r="C432" s="91"/>
      <c r="D432" s="196"/>
      <c r="E432" s="498"/>
      <c r="F432" s="499"/>
      <c r="G432" s="197"/>
      <c r="H432" s="484"/>
      <c r="I432" s="498"/>
      <c r="J432" s="197"/>
      <c r="K432" s="482"/>
      <c r="L432" s="482"/>
    </row>
    <row r="433" spans="1:12" s="15" customFormat="1" ht="30" customHeight="1">
      <c r="A433" s="195"/>
      <c r="B433" s="4" t="s">
        <v>166</v>
      </c>
      <c r="C433" s="91" t="s">
        <v>63</v>
      </c>
      <c r="D433" s="469" t="s">
        <v>401</v>
      </c>
      <c r="E433" s="197">
        <f>K105*1.067</f>
        <v>320100</v>
      </c>
      <c r="F433" s="197"/>
      <c r="G433" s="197">
        <f>E433</f>
        <v>320100</v>
      </c>
      <c r="H433" s="197">
        <f>E433*1.055</f>
        <v>337705.5</v>
      </c>
      <c r="I433" s="388"/>
      <c r="J433" s="197">
        <f>H433</f>
        <v>337705.5</v>
      </c>
      <c r="K433" s="248"/>
      <c r="L433" s="249"/>
    </row>
    <row r="434" spans="1:12" s="15" customFormat="1" ht="27" customHeight="1" hidden="1">
      <c r="A434" s="195"/>
      <c r="B434" s="4"/>
      <c r="C434" s="91"/>
      <c r="D434" s="474"/>
      <c r="E434" s="498"/>
      <c r="F434" s="499"/>
      <c r="G434" s="197">
        <f aca="true" t="shared" si="17" ref="G434:G439">E434</f>
        <v>0</v>
      </c>
      <c r="H434" s="197"/>
      <c r="I434" s="388"/>
      <c r="J434" s="197">
        <f aca="true" t="shared" si="18" ref="J434:J439">H434</f>
        <v>0</v>
      </c>
      <c r="K434" s="248"/>
      <c r="L434" s="249"/>
    </row>
    <row r="435" spans="1:12" s="15" customFormat="1" ht="29.25" customHeight="1" hidden="1">
      <c r="A435" s="195"/>
      <c r="B435" s="4"/>
      <c r="C435" s="91"/>
      <c r="D435" s="14"/>
      <c r="E435" s="495"/>
      <c r="F435" s="500"/>
      <c r="G435" s="197">
        <f t="shared" si="17"/>
        <v>0</v>
      </c>
      <c r="H435" s="178"/>
      <c r="I435" s="389"/>
      <c r="J435" s="197">
        <f t="shared" si="18"/>
        <v>0</v>
      </c>
      <c r="K435" s="181"/>
      <c r="L435" s="182"/>
    </row>
    <row r="436" spans="1:12" s="15" customFormat="1" ht="15">
      <c r="A436" s="195"/>
      <c r="B436" s="83" t="s">
        <v>152</v>
      </c>
      <c r="C436" s="91"/>
      <c r="D436" s="196"/>
      <c r="E436" s="498"/>
      <c r="F436" s="499"/>
      <c r="G436" s="197">
        <f t="shared" si="17"/>
        <v>0</v>
      </c>
      <c r="H436" s="197"/>
      <c r="I436" s="388"/>
      <c r="J436" s="197">
        <f t="shared" si="18"/>
        <v>0</v>
      </c>
      <c r="K436" s="248"/>
      <c r="L436" s="249"/>
    </row>
    <row r="437" spans="1:12" s="15" customFormat="1" ht="78.75" customHeight="1">
      <c r="A437" s="195"/>
      <c r="B437" s="4" t="s">
        <v>208</v>
      </c>
      <c r="C437" s="91" t="s">
        <v>153</v>
      </c>
      <c r="D437" s="14" t="s">
        <v>179</v>
      </c>
      <c r="E437" s="178">
        <f>K109</f>
        <v>75</v>
      </c>
      <c r="F437" s="178"/>
      <c r="G437" s="197">
        <f t="shared" si="17"/>
        <v>75</v>
      </c>
      <c r="H437" s="178">
        <f>E437</f>
        <v>75</v>
      </c>
      <c r="I437" s="389"/>
      <c r="J437" s="197">
        <f t="shared" si="18"/>
        <v>75</v>
      </c>
      <c r="K437" s="181"/>
      <c r="L437" s="182"/>
    </row>
    <row r="438" spans="1:12" s="15" customFormat="1" ht="15">
      <c r="A438" s="195"/>
      <c r="B438" s="83" t="s">
        <v>154</v>
      </c>
      <c r="C438" s="91"/>
      <c r="D438" s="196"/>
      <c r="E438" s="498"/>
      <c r="F438" s="499"/>
      <c r="G438" s="197">
        <f t="shared" si="17"/>
        <v>0</v>
      </c>
      <c r="H438" s="197"/>
      <c r="I438" s="388"/>
      <c r="J438" s="197">
        <f t="shared" si="18"/>
        <v>0</v>
      </c>
      <c r="K438" s="248"/>
      <c r="L438" s="249"/>
    </row>
    <row r="439" spans="1:12" s="15" customFormat="1" ht="37.5" customHeight="1">
      <c r="A439" s="174"/>
      <c r="B439" s="4" t="s">
        <v>209</v>
      </c>
      <c r="C439" s="91" t="s">
        <v>63</v>
      </c>
      <c r="D439" s="196" t="s">
        <v>109</v>
      </c>
      <c r="E439" s="197">
        <f>E433/E437</f>
        <v>4268</v>
      </c>
      <c r="F439" s="197"/>
      <c r="G439" s="197">
        <f t="shared" si="17"/>
        <v>4268</v>
      </c>
      <c r="H439" s="197">
        <f>H433/H437</f>
        <v>4502.74</v>
      </c>
      <c r="I439" s="388"/>
      <c r="J439" s="197">
        <f t="shared" si="18"/>
        <v>4502.74</v>
      </c>
      <c r="K439" s="248"/>
      <c r="L439" s="249"/>
    </row>
    <row r="440" spans="1:12" s="15" customFormat="1" ht="27" customHeight="1">
      <c r="A440" s="173"/>
      <c r="B440" s="194" t="s">
        <v>51</v>
      </c>
      <c r="C440" s="475" t="s">
        <v>276</v>
      </c>
      <c r="D440" s="475"/>
      <c r="E440" s="475"/>
      <c r="F440" s="475"/>
      <c r="G440" s="475"/>
      <c r="H440" s="475"/>
      <c r="I440" s="490"/>
      <c r="J440" s="341"/>
      <c r="K440" s="247"/>
      <c r="L440" s="247"/>
    </row>
    <row r="441" spans="1:12" s="15" customFormat="1" ht="15">
      <c r="A441" s="195"/>
      <c r="B441" s="83" t="s">
        <v>150</v>
      </c>
      <c r="C441" s="91"/>
      <c r="D441" s="196"/>
      <c r="E441" s="484"/>
      <c r="F441" s="484"/>
      <c r="G441" s="197"/>
      <c r="H441" s="484"/>
      <c r="I441" s="498"/>
      <c r="J441" s="197"/>
      <c r="K441" s="482"/>
      <c r="L441" s="482"/>
    </row>
    <row r="442" spans="1:12" s="15" customFormat="1" ht="30" customHeight="1">
      <c r="A442" s="195"/>
      <c r="B442" s="4" t="s">
        <v>166</v>
      </c>
      <c r="C442" s="91" t="s">
        <v>63</v>
      </c>
      <c r="D442" s="438" t="s">
        <v>401</v>
      </c>
      <c r="E442" s="197"/>
      <c r="F442" s="197">
        <f>L115*1.067</f>
        <v>245410</v>
      </c>
      <c r="G442" s="197">
        <f>F442</f>
        <v>245410</v>
      </c>
      <c r="H442" s="197"/>
      <c r="I442" s="269">
        <f>F442*1.055</f>
        <v>258907.55</v>
      </c>
      <c r="J442" s="197">
        <f>I442</f>
        <v>258907.55</v>
      </c>
      <c r="K442" s="248"/>
      <c r="L442" s="248"/>
    </row>
    <row r="443" spans="1:12" s="15" customFormat="1" ht="27" customHeight="1" hidden="1">
      <c r="A443" s="195"/>
      <c r="B443" s="4"/>
      <c r="C443" s="91"/>
      <c r="D443" s="438"/>
      <c r="E443" s="484"/>
      <c r="F443" s="484"/>
      <c r="G443" s="197">
        <f aca="true" t="shared" si="19" ref="G443:G449">F443</f>
        <v>0</v>
      </c>
      <c r="H443" s="197"/>
      <c r="I443" s="269"/>
      <c r="J443" s="197">
        <f aca="true" t="shared" si="20" ref="J443:J449">I443</f>
        <v>0</v>
      </c>
      <c r="K443" s="248"/>
      <c r="L443" s="248"/>
    </row>
    <row r="444" spans="1:12" s="15" customFormat="1" ht="29.25" customHeight="1" hidden="1">
      <c r="A444" s="195"/>
      <c r="B444" s="4"/>
      <c r="C444" s="91"/>
      <c r="D444" s="14"/>
      <c r="E444" s="485"/>
      <c r="F444" s="485"/>
      <c r="G444" s="197">
        <f t="shared" si="19"/>
        <v>0</v>
      </c>
      <c r="H444" s="178"/>
      <c r="I444" s="342"/>
      <c r="J444" s="197">
        <f t="shared" si="20"/>
        <v>0</v>
      </c>
      <c r="K444" s="181"/>
      <c r="L444" s="181"/>
    </row>
    <row r="445" spans="1:12" s="15" customFormat="1" ht="15">
      <c r="A445" s="195"/>
      <c r="B445" s="83" t="s">
        <v>152</v>
      </c>
      <c r="C445" s="91"/>
      <c r="D445" s="196"/>
      <c r="E445" s="484"/>
      <c r="F445" s="484"/>
      <c r="G445" s="197">
        <f t="shared" si="19"/>
        <v>0</v>
      </c>
      <c r="H445" s="197"/>
      <c r="I445" s="269"/>
      <c r="J445" s="197">
        <f t="shared" si="20"/>
        <v>0</v>
      </c>
      <c r="K445" s="248"/>
      <c r="L445" s="248"/>
    </row>
    <row r="446" spans="1:12" s="15" customFormat="1" ht="90" customHeight="1">
      <c r="A446" s="195"/>
      <c r="B446" s="4" t="s">
        <v>270</v>
      </c>
      <c r="C446" s="91" t="s">
        <v>153</v>
      </c>
      <c r="D446" s="14" t="s">
        <v>179</v>
      </c>
      <c r="E446" s="178"/>
      <c r="F446" s="178">
        <f>L119</f>
        <v>10</v>
      </c>
      <c r="G446" s="197">
        <f t="shared" si="19"/>
        <v>10</v>
      </c>
      <c r="H446" s="178"/>
      <c r="I446" s="342">
        <f>F446</f>
        <v>10</v>
      </c>
      <c r="J446" s="197">
        <f t="shared" si="20"/>
        <v>10</v>
      </c>
      <c r="K446" s="181"/>
      <c r="L446" s="181"/>
    </row>
    <row r="447" spans="1:12" s="15" customFormat="1" ht="25.5" customHeight="1" hidden="1">
      <c r="A447" s="195"/>
      <c r="B447" s="4" t="s">
        <v>168</v>
      </c>
      <c r="C447" s="91" t="s">
        <v>153</v>
      </c>
      <c r="D447" s="196"/>
      <c r="E447" s="200"/>
      <c r="F447" s="197"/>
      <c r="G447" s="197">
        <f t="shared" si="19"/>
        <v>0</v>
      </c>
      <c r="H447" s="200"/>
      <c r="I447" s="269"/>
      <c r="J447" s="197">
        <f t="shared" si="20"/>
        <v>0</v>
      </c>
      <c r="K447" s="250"/>
      <c r="L447" s="248"/>
    </row>
    <row r="448" spans="1:12" s="15" customFormat="1" ht="21" customHeight="1">
      <c r="A448" s="195"/>
      <c r="B448" s="83" t="s">
        <v>154</v>
      </c>
      <c r="C448" s="91"/>
      <c r="D448" s="196"/>
      <c r="E448" s="484"/>
      <c r="F448" s="484"/>
      <c r="G448" s="197">
        <f t="shared" si="19"/>
        <v>0</v>
      </c>
      <c r="H448" s="197"/>
      <c r="I448" s="269"/>
      <c r="J448" s="197">
        <f t="shared" si="20"/>
        <v>0</v>
      </c>
      <c r="K448" s="248"/>
      <c r="L448" s="248"/>
    </row>
    <row r="449" spans="1:12" s="15" customFormat="1" ht="32.25" customHeight="1">
      <c r="A449" s="174"/>
      <c r="B449" s="4" t="s">
        <v>272</v>
      </c>
      <c r="C449" s="91" t="s">
        <v>63</v>
      </c>
      <c r="D449" s="196" t="s">
        <v>109</v>
      </c>
      <c r="E449" s="197"/>
      <c r="F449" s="197">
        <f>F442/F446</f>
        <v>24541</v>
      </c>
      <c r="G449" s="197">
        <f t="shared" si="19"/>
        <v>24541</v>
      </c>
      <c r="H449" s="197"/>
      <c r="I449" s="269">
        <f>I442/I446</f>
        <v>25890.754999999997</v>
      </c>
      <c r="J449" s="197">
        <f t="shared" si="20"/>
        <v>25890.754999999997</v>
      </c>
      <c r="K449" s="248"/>
      <c r="L449" s="248"/>
    </row>
    <row r="450" spans="1:12" s="37" customFormat="1" ht="27" customHeight="1">
      <c r="A450" s="281"/>
      <c r="B450" s="282" t="s">
        <v>51</v>
      </c>
      <c r="C450" s="493" t="s">
        <v>285</v>
      </c>
      <c r="D450" s="493"/>
      <c r="E450" s="493"/>
      <c r="F450" s="493"/>
      <c r="G450" s="493"/>
      <c r="H450" s="493"/>
      <c r="I450" s="494"/>
      <c r="J450" s="343"/>
      <c r="K450" s="339"/>
      <c r="L450" s="340"/>
    </row>
    <row r="451" spans="1:12" s="37" customFormat="1" ht="27" customHeight="1">
      <c r="A451" s="281"/>
      <c r="B451" s="282" t="s">
        <v>51</v>
      </c>
      <c r="C451" s="493" t="s">
        <v>287</v>
      </c>
      <c r="D451" s="493"/>
      <c r="E451" s="493"/>
      <c r="F451" s="493"/>
      <c r="G451" s="493"/>
      <c r="H451" s="493"/>
      <c r="I451" s="494"/>
      <c r="J451" s="343"/>
      <c r="K451" s="339"/>
      <c r="L451" s="339"/>
    </row>
    <row r="452" spans="1:12" s="37" customFormat="1" ht="15">
      <c r="A452" s="283"/>
      <c r="B452" s="284" t="s">
        <v>150</v>
      </c>
      <c r="C452" s="206"/>
      <c r="D452" s="285"/>
      <c r="E452" s="485"/>
      <c r="F452" s="485"/>
      <c r="G452" s="178"/>
      <c r="H452" s="485"/>
      <c r="I452" s="495"/>
      <c r="J452" s="178"/>
      <c r="K452" s="496"/>
      <c r="L452" s="496"/>
    </row>
    <row r="453" spans="1:12" s="37" customFormat="1" ht="30" customHeight="1">
      <c r="A453" s="283"/>
      <c r="B453" s="286" t="s">
        <v>166</v>
      </c>
      <c r="C453" s="206" t="s">
        <v>63</v>
      </c>
      <c r="D453" s="497" t="s">
        <v>401</v>
      </c>
      <c r="E453" s="178">
        <f>K126*1.067</f>
        <v>448140</v>
      </c>
      <c r="F453" s="178">
        <f>L126*1.067</f>
        <v>224070</v>
      </c>
      <c r="G453" s="178">
        <f>E453+F453</f>
        <v>672210</v>
      </c>
      <c r="H453" s="178">
        <f>E453*1.055</f>
        <v>472787.69999999995</v>
      </c>
      <c r="I453" s="342">
        <f>F453*1.055</f>
        <v>236393.84999999998</v>
      </c>
      <c r="J453" s="178">
        <f>H453+I453</f>
        <v>709181.5499999999</v>
      </c>
      <c r="K453" s="181"/>
      <c r="L453" s="181"/>
    </row>
    <row r="454" spans="1:12" s="37" customFormat="1" ht="27" customHeight="1" hidden="1">
      <c r="A454" s="283"/>
      <c r="B454" s="286"/>
      <c r="C454" s="206"/>
      <c r="D454" s="497"/>
      <c r="E454" s="485"/>
      <c r="F454" s="485"/>
      <c r="G454" s="178">
        <f>E454+F454</f>
        <v>0</v>
      </c>
      <c r="H454" s="178"/>
      <c r="I454" s="342"/>
      <c r="J454" s="178">
        <f>H454+I454</f>
        <v>0</v>
      </c>
      <c r="K454" s="181"/>
      <c r="L454" s="181"/>
    </row>
    <row r="455" spans="1:12" s="37" customFormat="1" ht="29.25" customHeight="1" hidden="1">
      <c r="A455" s="283"/>
      <c r="B455" s="286"/>
      <c r="C455" s="206"/>
      <c r="D455" s="287"/>
      <c r="E455" s="485"/>
      <c r="F455" s="485"/>
      <c r="G455" s="178">
        <f>E455+F455</f>
        <v>0</v>
      </c>
      <c r="H455" s="178"/>
      <c r="I455" s="342"/>
      <c r="J455" s="178">
        <f>H455+I455</f>
        <v>0</v>
      </c>
      <c r="K455" s="181"/>
      <c r="L455" s="181"/>
    </row>
    <row r="456" spans="1:12" s="37" customFormat="1" ht="15">
      <c r="A456" s="283"/>
      <c r="B456" s="284" t="s">
        <v>152</v>
      </c>
      <c r="C456" s="206"/>
      <c r="D456" s="285"/>
      <c r="E456" s="485"/>
      <c r="F456" s="485"/>
      <c r="G456" s="178">
        <f>E456+F456</f>
        <v>0</v>
      </c>
      <c r="H456" s="178"/>
      <c r="I456" s="342"/>
      <c r="J456" s="178">
        <f>H456+I456</f>
        <v>0</v>
      </c>
      <c r="K456" s="181"/>
      <c r="L456" s="181"/>
    </row>
    <row r="457" spans="1:12" s="37" customFormat="1" ht="90" customHeight="1">
      <c r="A457" s="283"/>
      <c r="B457" s="286" t="s">
        <v>288</v>
      </c>
      <c r="C457" s="206" t="s">
        <v>153</v>
      </c>
      <c r="D457" s="287" t="s">
        <v>179</v>
      </c>
      <c r="E457" s="178">
        <f>K130</f>
        <v>3</v>
      </c>
      <c r="F457" s="178">
        <f>L130*1.067</f>
        <v>1.067</v>
      </c>
      <c r="G457" s="178">
        <f>E457+F457</f>
        <v>4.067</v>
      </c>
      <c r="H457" s="178">
        <f>E457</f>
        <v>3</v>
      </c>
      <c r="I457" s="342">
        <f>F457*1.055</f>
        <v>1.1256849999999998</v>
      </c>
      <c r="J457" s="178">
        <f>H457+I457</f>
        <v>4.125685</v>
      </c>
      <c r="K457" s="181"/>
      <c r="L457" s="181"/>
    </row>
    <row r="458" spans="1:12" s="15" customFormat="1" ht="25.5" customHeight="1" hidden="1">
      <c r="A458" s="195"/>
      <c r="B458" s="4" t="s">
        <v>168</v>
      </c>
      <c r="C458" s="91" t="s">
        <v>153</v>
      </c>
      <c r="D458" s="196"/>
      <c r="E458" s="200"/>
      <c r="F458" s="197"/>
      <c r="G458" s="197"/>
      <c r="H458" s="200"/>
      <c r="I458" s="269"/>
      <c r="J458" s="197"/>
      <c r="K458" s="250"/>
      <c r="L458" s="248"/>
    </row>
    <row r="459" spans="1:12" s="15" customFormat="1" ht="15">
      <c r="A459" s="195"/>
      <c r="B459" s="83" t="s">
        <v>154</v>
      </c>
      <c r="C459" s="91"/>
      <c r="D459" s="196"/>
      <c r="E459" s="484"/>
      <c r="F459" s="484"/>
      <c r="G459" s="197"/>
      <c r="H459" s="197"/>
      <c r="I459" s="269"/>
      <c r="J459" s="197"/>
      <c r="K459" s="248"/>
      <c r="L459" s="248"/>
    </row>
    <row r="460" spans="1:12" s="15" customFormat="1" ht="24" customHeight="1">
      <c r="A460" s="174"/>
      <c r="B460" s="4" t="s">
        <v>289</v>
      </c>
      <c r="C460" s="91" t="s">
        <v>63</v>
      </c>
      <c r="D460" s="196" t="s">
        <v>109</v>
      </c>
      <c r="E460" s="197">
        <f aca="true" t="shared" si="21" ref="E460:J460">E453/E457</f>
        <v>149380</v>
      </c>
      <c r="F460" s="197">
        <f t="shared" si="21"/>
        <v>210000</v>
      </c>
      <c r="G460" s="197">
        <f t="shared" si="21"/>
        <v>165283.99311531842</v>
      </c>
      <c r="H460" s="197">
        <f t="shared" si="21"/>
        <v>157595.9</v>
      </c>
      <c r="I460" s="269">
        <f t="shared" si="21"/>
        <v>210000</v>
      </c>
      <c r="J460" s="197">
        <f t="shared" si="21"/>
        <v>171894.2551358138</v>
      </c>
      <c r="K460" s="248"/>
      <c r="L460" s="248"/>
    </row>
    <row r="461" spans="1:12" s="15" customFormat="1" ht="27" customHeight="1">
      <c r="A461" s="173"/>
      <c r="B461" s="194"/>
      <c r="C461" s="475" t="s">
        <v>389</v>
      </c>
      <c r="D461" s="475"/>
      <c r="E461" s="475"/>
      <c r="F461" s="475"/>
      <c r="G461" s="475"/>
      <c r="H461" s="475"/>
      <c r="I461" s="490"/>
      <c r="J461" s="341"/>
      <c r="K461" s="247"/>
      <c r="L461" s="252"/>
    </row>
    <row r="462" spans="1:12" s="15" customFormat="1" ht="27" customHeight="1">
      <c r="A462" s="173"/>
      <c r="B462" s="194" t="s">
        <v>51</v>
      </c>
      <c r="C462" s="475" t="s">
        <v>211</v>
      </c>
      <c r="D462" s="475"/>
      <c r="E462" s="475"/>
      <c r="F462" s="475"/>
      <c r="G462" s="475"/>
      <c r="H462" s="475"/>
      <c r="I462" s="490"/>
      <c r="J462" s="341"/>
      <c r="K462" s="247"/>
      <c r="L462" s="247"/>
    </row>
    <row r="463" spans="1:12" s="15" customFormat="1" ht="15">
      <c r="A463" s="195"/>
      <c r="B463" s="83" t="s">
        <v>150</v>
      </c>
      <c r="C463" s="91"/>
      <c r="D463" s="196"/>
      <c r="E463" s="484"/>
      <c r="F463" s="484"/>
      <c r="G463" s="197"/>
      <c r="H463" s="484"/>
      <c r="I463" s="498"/>
      <c r="J463" s="197"/>
      <c r="K463" s="482"/>
      <c r="L463" s="482"/>
    </row>
    <row r="464" spans="1:12" s="15" customFormat="1" ht="30" customHeight="1">
      <c r="A464" s="195"/>
      <c r="B464" s="4" t="s">
        <v>166</v>
      </c>
      <c r="C464" s="91" t="s">
        <v>63</v>
      </c>
      <c r="D464" s="438" t="s">
        <v>401</v>
      </c>
      <c r="E464" s="197">
        <f>K137*1.067</f>
        <v>76824</v>
      </c>
      <c r="F464" s="197"/>
      <c r="G464" s="197">
        <f>E464</f>
        <v>76824</v>
      </c>
      <c r="H464" s="197">
        <f>E464*1.055</f>
        <v>81049.31999999999</v>
      </c>
      <c r="I464" s="388"/>
      <c r="J464" s="197">
        <f>H464</f>
        <v>81049.31999999999</v>
      </c>
      <c r="K464" s="248"/>
      <c r="L464" s="249"/>
    </row>
    <row r="465" spans="1:12" s="15" customFormat="1" ht="27" customHeight="1" hidden="1">
      <c r="A465" s="195"/>
      <c r="B465" s="4"/>
      <c r="C465" s="91"/>
      <c r="D465" s="438"/>
      <c r="E465" s="484"/>
      <c r="F465" s="484"/>
      <c r="G465" s="197">
        <f aca="true" t="shared" si="22" ref="G465:G471">E465</f>
        <v>0</v>
      </c>
      <c r="H465" s="197"/>
      <c r="I465" s="388"/>
      <c r="J465" s="197">
        <f aca="true" t="shared" si="23" ref="J465:J471">H465</f>
        <v>0</v>
      </c>
      <c r="K465" s="248"/>
      <c r="L465" s="249"/>
    </row>
    <row r="466" spans="1:12" s="15" customFormat="1" ht="29.25" customHeight="1" hidden="1">
      <c r="A466" s="195"/>
      <c r="B466" s="4"/>
      <c r="C466" s="91"/>
      <c r="D466" s="14"/>
      <c r="E466" s="485"/>
      <c r="F466" s="485"/>
      <c r="G466" s="197">
        <f t="shared" si="22"/>
        <v>0</v>
      </c>
      <c r="H466" s="178"/>
      <c r="I466" s="389"/>
      <c r="J466" s="197">
        <f t="shared" si="23"/>
        <v>0</v>
      </c>
      <c r="K466" s="181"/>
      <c r="L466" s="182"/>
    </row>
    <row r="467" spans="1:12" s="15" customFormat="1" ht="15">
      <c r="A467" s="195"/>
      <c r="B467" s="83" t="s">
        <v>152</v>
      </c>
      <c r="C467" s="91"/>
      <c r="D467" s="196"/>
      <c r="E467" s="484"/>
      <c r="F467" s="484"/>
      <c r="G467" s="197">
        <f t="shared" si="22"/>
        <v>0</v>
      </c>
      <c r="H467" s="197"/>
      <c r="I467" s="388"/>
      <c r="J467" s="197">
        <f t="shared" si="23"/>
        <v>0</v>
      </c>
      <c r="K467" s="248"/>
      <c r="L467" s="249"/>
    </row>
    <row r="468" spans="1:12" s="15" customFormat="1" ht="36" customHeight="1">
      <c r="A468" s="195"/>
      <c r="B468" s="4" t="s">
        <v>383</v>
      </c>
      <c r="C468" s="91" t="s">
        <v>153</v>
      </c>
      <c r="D468" s="477" t="s">
        <v>179</v>
      </c>
      <c r="E468" s="178">
        <f>K141*1.067</f>
        <v>12.803999999999998</v>
      </c>
      <c r="F468" s="178"/>
      <c r="G468" s="197">
        <f t="shared" si="22"/>
        <v>12.803999999999998</v>
      </c>
      <c r="H468" s="178">
        <f>E468*1.055</f>
        <v>13.508219999999998</v>
      </c>
      <c r="I468" s="389"/>
      <c r="J468" s="197">
        <f t="shared" si="23"/>
        <v>13.508219999999998</v>
      </c>
      <c r="K468" s="181"/>
      <c r="L468" s="182"/>
    </row>
    <row r="469" spans="1:12" s="15" customFormat="1" ht="26.25" customHeight="1">
      <c r="A469" s="195"/>
      <c r="B469" s="4" t="s">
        <v>382</v>
      </c>
      <c r="C469" s="91" t="s">
        <v>153</v>
      </c>
      <c r="D469" s="478"/>
      <c r="E469" s="178">
        <v>12</v>
      </c>
      <c r="F469" s="178"/>
      <c r="G469" s="197">
        <f t="shared" si="22"/>
        <v>12</v>
      </c>
      <c r="H469" s="178">
        <v>12</v>
      </c>
      <c r="I469" s="389"/>
      <c r="J469" s="197">
        <f t="shared" si="23"/>
        <v>12</v>
      </c>
      <c r="K469" s="181"/>
      <c r="L469" s="182"/>
    </row>
    <row r="470" spans="1:12" s="15" customFormat="1" ht="18.75" customHeight="1">
      <c r="A470" s="195"/>
      <c r="B470" s="83" t="s">
        <v>154</v>
      </c>
      <c r="C470" s="91"/>
      <c r="D470" s="196"/>
      <c r="E470" s="484"/>
      <c r="F470" s="484"/>
      <c r="G470" s="197">
        <f t="shared" si="22"/>
        <v>0</v>
      </c>
      <c r="H470" s="197"/>
      <c r="I470" s="388"/>
      <c r="J470" s="197">
        <f t="shared" si="23"/>
        <v>0</v>
      </c>
      <c r="K470" s="248"/>
      <c r="L470" s="249"/>
    </row>
    <row r="471" spans="1:12" s="15" customFormat="1" ht="24" customHeight="1">
      <c r="A471" s="174"/>
      <c r="B471" s="4" t="s">
        <v>212</v>
      </c>
      <c r="C471" s="91" t="s">
        <v>63</v>
      </c>
      <c r="D471" s="196" t="s">
        <v>109</v>
      </c>
      <c r="E471" s="197">
        <f>E464/E468/E469</f>
        <v>500.00000000000006</v>
      </c>
      <c r="F471" s="197"/>
      <c r="G471" s="197">
        <f t="shared" si="22"/>
        <v>500.00000000000006</v>
      </c>
      <c r="H471" s="197">
        <f>H464/H468/H469</f>
        <v>500</v>
      </c>
      <c r="I471" s="388"/>
      <c r="J471" s="197">
        <f t="shared" si="23"/>
        <v>500</v>
      </c>
      <c r="K471" s="248"/>
      <c r="L471" s="249"/>
    </row>
    <row r="472" spans="1:12" s="15" customFormat="1" ht="27" customHeight="1">
      <c r="A472" s="173"/>
      <c r="B472" s="194" t="s">
        <v>51</v>
      </c>
      <c r="C472" s="475" t="s">
        <v>390</v>
      </c>
      <c r="D472" s="475"/>
      <c r="E472" s="475"/>
      <c r="F472" s="475"/>
      <c r="G472" s="475"/>
      <c r="H472" s="475"/>
      <c r="I472" s="490"/>
      <c r="J472" s="341"/>
      <c r="K472" s="247"/>
      <c r="L472" s="247"/>
    </row>
    <row r="473" spans="1:12" s="15" customFormat="1" ht="15">
      <c r="A473" s="195"/>
      <c r="B473" s="83" t="s">
        <v>150</v>
      </c>
      <c r="C473" s="91"/>
      <c r="D473" s="196"/>
      <c r="E473" s="484"/>
      <c r="F473" s="484"/>
      <c r="G473" s="197"/>
      <c r="H473" s="484"/>
      <c r="I473" s="498"/>
      <c r="J473" s="197"/>
      <c r="K473" s="482"/>
      <c r="L473" s="482"/>
    </row>
    <row r="474" spans="1:12" s="15" customFormat="1" ht="30" customHeight="1">
      <c r="A474" s="195"/>
      <c r="B474" s="4" t="s">
        <v>166</v>
      </c>
      <c r="C474" s="91" t="s">
        <v>63</v>
      </c>
      <c r="D474" s="438" t="s">
        <v>401</v>
      </c>
      <c r="E474" s="197">
        <f>K147*1.067</f>
        <v>367048</v>
      </c>
      <c r="F474" s="197"/>
      <c r="G474" s="197">
        <f>E474</f>
        <v>367048</v>
      </c>
      <c r="H474" s="197">
        <f>E474*1.055</f>
        <v>387235.63999999996</v>
      </c>
      <c r="I474" s="388"/>
      <c r="J474" s="197">
        <f>H474</f>
        <v>387235.63999999996</v>
      </c>
      <c r="K474" s="248"/>
      <c r="L474" s="249"/>
    </row>
    <row r="475" spans="1:12" s="15" customFormat="1" ht="27" customHeight="1" hidden="1">
      <c r="A475" s="195"/>
      <c r="B475" s="4"/>
      <c r="C475" s="91"/>
      <c r="D475" s="438"/>
      <c r="E475" s="484"/>
      <c r="F475" s="484"/>
      <c r="G475" s="197">
        <f aca="true" t="shared" si="24" ref="G475:G481">E475</f>
        <v>0</v>
      </c>
      <c r="H475" s="197"/>
      <c r="I475" s="388"/>
      <c r="J475" s="197">
        <f aca="true" t="shared" si="25" ref="J475:J538">H475</f>
        <v>0</v>
      </c>
      <c r="K475" s="248"/>
      <c r="L475" s="249"/>
    </row>
    <row r="476" spans="1:12" s="15" customFormat="1" ht="29.25" customHeight="1" hidden="1">
      <c r="A476" s="195"/>
      <c r="B476" s="4"/>
      <c r="C476" s="91"/>
      <c r="D476" s="14"/>
      <c r="E476" s="485"/>
      <c r="F476" s="485"/>
      <c r="G476" s="197">
        <f t="shared" si="24"/>
        <v>0</v>
      </c>
      <c r="H476" s="178"/>
      <c r="I476" s="389"/>
      <c r="J476" s="197">
        <f t="shared" si="25"/>
        <v>0</v>
      </c>
      <c r="K476" s="181"/>
      <c r="L476" s="182"/>
    </row>
    <row r="477" spans="1:12" s="15" customFormat="1" ht="15">
      <c r="A477" s="195"/>
      <c r="B477" s="83" t="s">
        <v>152</v>
      </c>
      <c r="C477" s="91"/>
      <c r="D477" s="196"/>
      <c r="E477" s="484"/>
      <c r="F477" s="484"/>
      <c r="G477" s="197">
        <f t="shared" si="24"/>
        <v>0</v>
      </c>
      <c r="H477" s="197"/>
      <c r="I477" s="388"/>
      <c r="J477" s="197">
        <f t="shared" si="25"/>
        <v>0</v>
      </c>
      <c r="K477" s="248"/>
      <c r="L477" s="249"/>
    </row>
    <row r="478" spans="1:12" s="15" customFormat="1" ht="36" customHeight="1">
      <c r="A478" s="195"/>
      <c r="B478" s="4" t="s">
        <v>391</v>
      </c>
      <c r="C478" s="91" t="s">
        <v>153</v>
      </c>
      <c r="D478" s="477" t="s">
        <v>179</v>
      </c>
      <c r="E478" s="178">
        <f>K151</f>
        <v>5</v>
      </c>
      <c r="F478" s="178"/>
      <c r="G478" s="197">
        <f t="shared" si="24"/>
        <v>5</v>
      </c>
      <c r="H478" s="178">
        <f>E478*1.055</f>
        <v>5.2749999999999995</v>
      </c>
      <c r="I478" s="389"/>
      <c r="J478" s="197">
        <f t="shared" si="25"/>
        <v>5.2749999999999995</v>
      </c>
      <c r="K478" s="181"/>
      <c r="L478" s="182"/>
    </row>
    <row r="479" spans="1:12" s="15" customFormat="1" ht="26.25" customHeight="1">
      <c r="A479" s="195"/>
      <c r="B479" s="4" t="s">
        <v>382</v>
      </c>
      <c r="C479" s="91" t="s">
        <v>153</v>
      </c>
      <c r="D479" s="478"/>
      <c r="E479" s="178">
        <v>12</v>
      </c>
      <c r="F479" s="178"/>
      <c r="G479" s="197">
        <f t="shared" si="24"/>
        <v>12</v>
      </c>
      <c r="H479" s="178">
        <v>12</v>
      </c>
      <c r="I479" s="389"/>
      <c r="J479" s="197">
        <f t="shared" si="25"/>
        <v>12</v>
      </c>
      <c r="K479" s="181"/>
      <c r="L479" s="182"/>
    </row>
    <row r="480" spans="1:12" s="15" customFormat="1" ht="18.75" customHeight="1">
      <c r="A480" s="195"/>
      <c r="B480" s="83" t="s">
        <v>154</v>
      </c>
      <c r="C480" s="91"/>
      <c r="D480" s="196"/>
      <c r="E480" s="484"/>
      <c r="F480" s="484"/>
      <c r="G480" s="197">
        <f t="shared" si="24"/>
        <v>0</v>
      </c>
      <c r="H480" s="197"/>
      <c r="I480" s="388"/>
      <c r="J480" s="197">
        <f t="shared" si="25"/>
        <v>0</v>
      </c>
      <c r="K480" s="248"/>
      <c r="L480" s="249"/>
    </row>
    <row r="481" spans="1:12" s="15" customFormat="1" ht="24" customHeight="1">
      <c r="A481" s="174"/>
      <c r="B481" s="4" t="s">
        <v>394</v>
      </c>
      <c r="C481" s="91" t="s">
        <v>63</v>
      </c>
      <c r="D481" s="196" t="s">
        <v>109</v>
      </c>
      <c r="E481" s="197">
        <f>E474/E478/E479</f>
        <v>6117.466666666667</v>
      </c>
      <c r="F481" s="197"/>
      <c r="G481" s="197">
        <f t="shared" si="24"/>
        <v>6117.466666666667</v>
      </c>
      <c r="H481" s="197">
        <f>H474/H478/H479</f>
        <v>6117.466666666667</v>
      </c>
      <c r="I481" s="388"/>
      <c r="J481" s="197">
        <f t="shared" si="25"/>
        <v>6117.466666666667</v>
      </c>
      <c r="K481" s="248"/>
      <c r="L481" s="249"/>
    </row>
    <row r="482" spans="1:12" s="15" customFormat="1" ht="27" customHeight="1">
      <c r="A482" s="173"/>
      <c r="B482" s="194" t="s">
        <v>51</v>
      </c>
      <c r="C482" s="475" t="s">
        <v>392</v>
      </c>
      <c r="D482" s="475"/>
      <c r="E482" s="475"/>
      <c r="F482" s="475"/>
      <c r="G482" s="475"/>
      <c r="H482" s="475"/>
      <c r="I482" s="490"/>
      <c r="J482" s="197">
        <f t="shared" si="25"/>
        <v>0</v>
      </c>
      <c r="K482" s="247"/>
      <c r="L482" s="247"/>
    </row>
    <row r="483" spans="1:12" s="15" customFormat="1" ht="15">
      <c r="A483" s="195"/>
      <c r="B483" s="83" t="s">
        <v>150</v>
      </c>
      <c r="C483" s="91"/>
      <c r="D483" s="196"/>
      <c r="E483" s="484"/>
      <c r="F483" s="484"/>
      <c r="G483" s="197"/>
      <c r="H483" s="484"/>
      <c r="I483" s="498"/>
      <c r="J483" s="197">
        <f t="shared" si="25"/>
        <v>0</v>
      </c>
      <c r="K483" s="482"/>
      <c r="L483" s="482"/>
    </row>
    <row r="484" spans="1:12" s="15" customFormat="1" ht="30" customHeight="1">
      <c r="A484" s="195"/>
      <c r="B484" s="4" t="s">
        <v>166</v>
      </c>
      <c r="C484" s="91" t="s">
        <v>63</v>
      </c>
      <c r="D484" s="438" t="s">
        <v>401</v>
      </c>
      <c r="E484" s="197">
        <f>K157*1.067</f>
        <v>19206</v>
      </c>
      <c r="F484" s="197"/>
      <c r="G484" s="197">
        <f>E484</f>
        <v>19206</v>
      </c>
      <c r="H484" s="197">
        <f>E484*1.055</f>
        <v>20262.329999999998</v>
      </c>
      <c r="I484" s="388"/>
      <c r="J484" s="197">
        <f t="shared" si="25"/>
        <v>20262.329999999998</v>
      </c>
      <c r="K484" s="248"/>
      <c r="L484" s="249"/>
    </row>
    <row r="485" spans="1:12" s="15" customFormat="1" ht="27" customHeight="1" hidden="1">
      <c r="A485" s="195"/>
      <c r="B485" s="4"/>
      <c r="C485" s="91"/>
      <c r="D485" s="438"/>
      <c r="E485" s="484"/>
      <c r="F485" s="484"/>
      <c r="G485" s="197">
        <f aca="true" t="shared" si="26" ref="G485:G490">E485</f>
        <v>0</v>
      </c>
      <c r="H485" s="197"/>
      <c r="I485" s="388"/>
      <c r="J485" s="197">
        <f t="shared" si="25"/>
        <v>0</v>
      </c>
      <c r="K485" s="248"/>
      <c r="L485" s="249"/>
    </row>
    <row r="486" spans="1:12" s="15" customFormat="1" ht="29.25" customHeight="1" hidden="1">
      <c r="A486" s="195"/>
      <c r="B486" s="4"/>
      <c r="C486" s="91"/>
      <c r="D486" s="14"/>
      <c r="E486" s="485"/>
      <c r="F486" s="485"/>
      <c r="G486" s="197">
        <f t="shared" si="26"/>
        <v>0</v>
      </c>
      <c r="H486" s="178"/>
      <c r="I486" s="389"/>
      <c r="J486" s="197">
        <f t="shared" si="25"/>
        <v>0</v>
      </c>
      <c r="K486" s="181"/>
      <c r="L486" s="182"/>
    </row>
    <row r="487" spans="1:12" s="15" customFormat="1" ht="15">
      <c r="A487" s="195"/>
      <c r="B487" s="83" t="s">
        <v>152</v>
      </c>
      <c r="C487" s="91"/>
      <c r="D487" s="196"/>
      <c r="E487" s="484"/>
      <c r="F487" s="484"/>
      <c r="G487" s="197">
        <f t="shared" si="26"/>
        <v>0</v>
      </c>
      <c r="H487" s="197"/>
      <c r="I487" s="388"/>
      <c r="J487" s="197">
        <f t="shared" si="25"/>
        <v>0</v>
      </c>
      <c r="K487" s="248"/>
      <c r="L487" s="249"/>
    </row>
    <row r="488" spans="1:12" s="15" customFormat="1" ht="75" customHeight="1">
      <c r="A488" s="195"/>
      <c r="B488" s="4" t="s">
        <v>393</v>
      </c>
      <c r="C488" s="91" t="s">
        <v>153</v>
      </c>
      <c r="D488" s="209" t="s">
        <v>179</v>
      </c>
      <c r="E488" s="178">
        <f>K161</f>
        <v>10</v>
      </c>
      <c r="F488" s="178"/>
      <c r="G488" s="197">
        <f t="shared" si="26"/>
        <v>10</v>
      </c>
      <c r="H488" s="178">
        <f>E488</f>
        <v>10</v>
      </c>
      <c r="I488" s="389"/>
      <c r="J488" s="197">
        <f t="shared" si="25"/>
        <v>10</v>
      </c>
      <c r="K488" s="181"/>
      <c r="L488" s="182"/>
    </row>
    <row r="489" spans="1:12" s="15" customFormat="1" ht="18.75" customHeight="1">
      <c r="A489" s="195"/>
      <c r="B489" s="83" t="s">
        <v>154</v>
      </c>
      <c r="C489" s="91"/>
      <c r="D489" s="196"/>
      <c r="E489" s="484"/>
      <c r="F489" s="484"/>
      <c r="G489" s="197">
        <f t="shared" si="26"/>
        <v>0</v>
      </c>
      <c r="H489" s="197"/>
      <c r="I489" s="388"/>
      <c r="J489" s="197">
        <f t="shared" si="25"/>
        <v>0</v>
      </c>
      <c r="K489" s="248"/>
      <c r="L489" s="249"/>
    </row>
    <row r="490" spans="1:12" s="15" customFormat="1" ht="24" customHeight="1">
      <c r="A490" s="174"/>
      <c r="B490" s="4" t="s">
        <v>394</v>
      </c>
      <c r="C490" s="91" t="s">
        <v>63</v>
      </c>
      <c r="D490" s="196" t="s">
        <v>109</v>
      </c>
      <c r="E490" s="197">
        <f>E484/E488</f>
        <v>1920.6</v>
      </c>
      <c r="F490" s="197"/>
      <c r="G490" s="197">
        <f t="shared" si="26"/>
        <v>1920.6</v>
      </c>
      <c r="H490" s="197">
        <f>H484/H488</f>
        <v>2026.2329999999997</v>
      </c>
      <c r="I490" s="388"/>
      <c r="J490" s="197">
        <f t="shared" si="25"/>
        <v>2026.2329999999997</v>
      </c>
      <c r="K490" s="248"/>
      <c r="L490" s="249"/>
    </row>
    <row r="491" spans="1:12" s="15" customFormat="1" ht="27" customHeight="1">
      <c r="A491" s="173"/>
      <c r="B491" s="194" t="s">
        <v>51</v>
      </c>
      <c r="C491" s="475" t="s">
        <v>162</v>
      </c>
      <c r="D491" s="475"/>
      <c r="E491" s="475"/>
      <c r="F491" s="475"/>
      <c r="G491" s="475"/>
      <c r="H491" s="475"/>
      <c r="I491" s="490"/>
      <c r="J491" s="197">
        <f t="shared" si="25"/>
        <v>0</v>
      </c>
      <c r="K491" s="247"/>
      <c r="L491" s="247"/>
    </row>
    <row r="492" spans="1:12" s="15" customFormat="1" ht="15">
      <c r="A492" s="195"/>
      <c r="B492" s="83" t="s">
        <v>150</v>
      </c>
      <c r="C492" s="91"/>
      <c r="D492" s="196"/>
      <c r="E492" s="484"/>
      <c r="F492" s="484"/>
      <c r="G492" s="197"/>
      <c r="H492" s="484"/>
      <c r="I492" s="498"/>
      <c r="J492" s="197">
        <f t="shared" si="25"/>
        <v>0</v>
      </c>
      <c r="K492" s="482"/>
      <c r="L492" s="482"/>
    </row>
    <row r="493" spans="1:12" s="15" customFormat="1" ht="71.25" customHeight="1">
      <c r="A493" s="195"/>
      <c r="B493" s="4" t="s">
        <v>166</v>
      </c>
      <c r="C493" s="91" t="s">
        <v>63</v>
      </c>
      <c r="D493" s="469" t="s">
        <v>401</v>
      </c>
      <c r="E493" s="178">
        <f>K167*1.067</f>
        <v>185658</v>
      </c>
      <c r="F493" s="178"/>
      <c r="G493" s="178">
        <f>E493</f>
        <v>185658</v>
      </c>
      <c r="H493" s="178">
        <f>E493*1.055</f>
        <v>195869.19</v>
      </c>
      <c r="I493" s="388"/>
      <c r="J493" s="197">
        <f t="shared" si="25"/>
        <v>195869.19</v>
      </c>
      <c r="K493" s="248"/>
      <c r="L493" s="249"/>
    </row>
    <row r="494" spans="1:12" s="15" customFormat="1" ht="27" customHeight="1" hidden="1">
      <c r="A494" s="195"/>
      <c r="B494" s="4"/>
      <c r="C494" s="91"/>
      <c r="D494" s="474"/>
      <c r="E494" s="484"/>
      <c r="F494" s="484"/>
      <c r="G494" s="178">
        <f aca="true" t="shared" si="27" ref="G494:G501">E494</f>
        <v>0</v>
      </c>
      <c r="H494" s="197"/>
      <c r="I494" s="388"/>
      <c r="J494" s="197">
        <f t="shared" si="25"/>
        <v>0</v>
      </c>
      <c r="K494" s="248"/>
      <c r="L494" s="249"/>
    </row>
    <row r="495" spans="1:12" s="15" customFormat="1" ht="29.25" customHeight="1" hidden="1">
      <c r="A495" s="195"/>
      <c r="B495" s="4"/>
      <c r="C495" s="91"/>
      <c r="D495" s="14"/>
      <c r="E495" s="485"/>
      <c r="F495" s="485"/>
      <c r="G495" s="178">
        <f t="shared" si="27"/>
        <v>0</v>
      </c>
      <c r="H495" s="178"/>
      <c r="I495" s="389"/>
      <c r="J495" s="197">
        <f t="shared" si="25"/>
        <v>0</v>
      </c>
      <c r="K495" s="181"/>
      <c r="L495" s="182"/>
    </row>
    <row r="496" spans="1:12" s="15" customFormat="1" ht="15">
      <c r="A496" s="195"/>
      <c r="B496" s="83" t="s">
        <v>152</v>
      </c>
      <c r="C496" s="91"/>
      <c r="D496" s="196"/>
      <c r="E496" s="484"/>
      <c r="F496" s="484"/>
      <c r="G496" s="178">
        <f t="shared" si="27"/>
        <v>0</v>
      </c>
      <c r="H496" s="197"/>
      <c r="I496" s="388"/>
      <c r="J496" s="197">
        <f t="shared" si="25"/>
        <v>0</v>
      </c>
      <c r="K496" s="248"/>
      <c r="L496" s="249"/>
    </row>
    <row r="497" spans="1:12" s="15" customFormat="1" ht="71.25" customHeight="1">
      <c r="A497" s="195"/>
      <c r="B497" s="4" t="s">
        <v>167</v>
      </c>
      <c r="C497" s="91" t="s">
        <v>153</v>
      </c>
      <c r="D497" s="14" t="s">
        <v>179</v>
      </c>
      <c r="E497" s="178">
        <f>K171</f>
        <v>29</v>
      </c>
      <c r="F497" s="178"/>
      <c r="G497" s="178">
        <f t="shared" si="27"/>
        <v>29</v>
      </c>
      <c r="H497" s="178">
        <f>E497*1.055</f>
        <v>30.595</v>
      </c>
      <c r="I497" s="389"/>
      <c r="J497" s="197">
        <f t="shared" si="25"/>
        <v>30.595</v>
      </c>
      <c r="K497" s="181"/>
      <c r="L497" s="182"/>
    </row>
    <row r="498" spans="1:12" s="15" customFormat="1" ht="25.5" customHeight="1" hidden="1">
      <c r="A498" s="195"/>
      <c r="B498" s="4" t="s">
        <v>168</v>
      </c>
      <c r="C498" s="91" t="s">
        <v>153</v>
      </c>
      <c r="D498" s="196"/>
      <c r="E498" s="200"/>
      <c r="F498" s="197"/>
      <c r="G498" s="178">
        <f t="shared" si="27"/>
        <v>0</v>
      </c>
      <c r="H498" s="200"/>
      <c r="I498" s="269"/>
      <c r="J498" s="197">
        <f t="shared" si="25"/>
        <v>0</v>
      </c>
      <c r="K498" s="250"/>
      <c r="L498" s="248"/>
    </row>
    <row r="499" spans="1:12" s="15" customFormat="1" ht="29.25" customHeight="1">
      <c r="A499" s="195"/>
      <c r="B499" s="4" t="s">
        <v>213</v>
      </c>
      <c r="C499" s="91" t="s">
        <v>215</v>
      </c>
      <c r="D499" s="196"/>
      <c r="E499" s="178">
        <v>12</v>
      </c>
      <c r="F499" s="178"/>
      <c r="G499" s="178">
        <f t="shared" si="27"/>
        <v>12</v>
      </c>
      <c r="H499" s="178">
        <v>12</v>
      </c>
      <c r="I499" s="389"/>
      <c r="J499" s="197">
        <f t="shared" si="25"/>
        <v>12</v>
      </c>
      <c r="K499" s="181"/>
      <c r="L499" s="182"/>
    </row>
    <row r="500" spans="1:12" s="15" customFormat="1" ht="15">
      <c r="A500" s="195"/>
      <c r="B500" s="83" t="s">
        <v>154</v>
      </c>
      <c r="C500" s="91"/>
      <c r="D500" s="196" t="s">
        <v>109</v>
      </c>
      <c r="E500" s="484"/>
      <c r="F500" s="484"/>
      <c r="G500" s="178">
        <f t="shared" si="27"/>
        <v>0</v>
      </c>
      <c r="H500" s="197"/>
      <c r="I500" s="388"/>
      <c r="J500" s="197">
        <f t="shared" si="25"/>
        <v>0</v>
      </c>
      <c r="K500" s="248"/>
      <c r="L500" s="249"/>
    </row>
    <row r="501" spans="1:12" s="15" customFormat="1" ht="24" customHeight="1">
      <c r="A501" s="174"/>
      <c r="B501" s="4" t="s">
        <v>214</v>
      </c>
      <c r="C501" s="91" t="s">
        <v>63</v>
      </c>
      <c r="D501" s="196" t="s">
        <v>109</v>
      </c>
      <c r="E501" s="197">
        <f>E493/E497/E499</f>
        <v>533.5</v>
      </c>
      <c r="F501" s="197"/>
      <c r="G501" s="178">
        <f t="shared" si="27"/>
        <v>533.5</v>
      </c>
      <c r="H501" s="197">
        <f>H493/H497/H499</f>
        <v>533.5</v>
      </c>
      <c r="I501" s="388"/>
      <c r="J501" s="197">
        <f t="shared" si="25"/>
        <v>533.5</v>
      </c>
      <c r="K501" s="248"/>
      <c r="L501" s="249"/>
    </row>
    <row r="502" spans="1:12" s="15" customFormat="1" ht="39.75" customHeight="1">
      <c r="A502" s="173"/>
      <c r="B502" s="180" t="s">
        <v>51</v>
      </c>
      <c r="C502" s="475" t="s">
        <v>176</v>
      </c>
      <c r="D502" s="475"/>
      <c r="E502" s="475"/>
      <c r="F502" s="475"/>
      <c r="G502" s="475"/>
      <c r="H502" s="475"/>
      <c r="I502" s="490"/>
      <c r="J502" s="197">
        <f t="shared" si="25"/>
        <v>0</v>
      </c>
      <c r="K502" s="183"/>
      <c r="L502" s="184"/>
    </row>
    <row r="503" spans="1:12" s="15" customFormat="1" ht="16.5" customHeight="1">
      <c r="A503" s="174"/>
      <c r="B503" s="175" t="s">
        <v>150</v>
      </c>
      <c r="C503" s="91"/>
      <c r="D503" s="176"/>
      <c r="E503" s="476"/>
      <c r="F503" s="476"/>
      <c r="G503" s="177"/>
      <c r="H503" s="480"/>
      <c r="I503" s="488"/>
      <c r="J503" s="197">
        <f t="shared" si="25"/>
        <v>0</v>
      </c>
      <c r="K503" s="489"/>
      <c r="L503" s="489"/>
    </row>
    <row r="504" spans="1:12" s="15" customFormat="1" ht="43.5" customHeight="1">
      <c r="A504" s="174"/>
      <c r="B504" s="4" t="s">
        <v>151</v>
      </c>
      <c r="C504" s="91" t="s">
        <v>63</v>
      </c>
      <c r="D504" s="14" t="s">
        <v>401</v>
      </c>
      <c r="E504" s="178">
        <f>K185*1.067</f>
        <v>0</v>
      </c>
      <c r="F504" s="178"/>
      <c r="G504" s="178">
        <f>E504</f>
        <v>0</v>
      </c>
      <c r="H504" s="178">
        <f>E504*1.055</f>
        <v>0</v>
      </c>
      <c r="I504" s="342"/>
      <c r="J504" s="197">
        <f t="shared" si="25"/>
        <v>0</v>
      </c>
      <c r="K504" s="181"/>
      <c r="L504" s="181"/>
    </row>
    <row r="505" spans="1:12" s="15" customFormat="1" ht="15" customHeight="1">
      <c r="A505" s="174"/>
      <c r="B505" s="175" t="s">
        <v>152</v>
      </c>
      <c r="C505" s="91"/>
      <c r="D505" s="124"/>
      <c r="E505" s="178"/>
      <c r="F505" s="178"/>
      <c r="G505" s="178">
        <f>E505</f>
        <v>0</v>
      </c>
      <c r="H505" s="204"/>
      <c r="I505" s="390"/>
      <c r="J505" s="197">
        <f t="shared" si="25"/>
        <v>0</v>
      </c>
      <c r="K505" s="208"/>
      <c r="L505" s="256"/>
    </row>
    <row r="506" spans="1:12" s="15" customFormat="1" ht="75" customHeight="1">
      <c r="A506" s="174"/>
      <c r="B506" s="4" t="s">
        <v>177</v>
      </c>
      <c r="C506" s="91" t="s">
        <v>153</v>
      </c>
      <c r="D506" s="14" t="s">
        <v>179</v>
      </c>
      <c r="E506" s="178">
        <v>7</v>
      </c>
      <c r="F506" s="178"/>
      <c r="G506" s="178">
        <f>E506</f>
        <v>7</v>
      </c>
      <c r="H506" s="204">
        <v>7</v>
      </c>
      <c r="I506" s="391"/>
      <c r="J506" s="197">
        <f t="shared" si="25"/>
        <v>7</v>
      </c>
      <c r="K506" s="208"/>
      <c r="L506" s="208"/>
    </row>
    <row r="507" spans="1:12" s="15" customFormat="1" ht="15">
      <c r="A507" s="174"/>
      <c r="B507" s="175" t="s">
        <v>154</v>
      </c>
      <c r="C507" s="91"/>
      <c r="D507" s="109"/>
      <c r="E507" s="178"/>
      <c r="F507" s="178"/>
      <c r="G507" s="178">
        <f>E507</f>
        <v>0</v>
      </c>
      <c r="H507" s="204"/>
      <c r="I507" s="390"/>
      <c r="J507" s="197">
        <f t="shared" si="25"/>
        <v>0</v>
      </c>
      <c r="K507" s="208"/>
      <c r="L507" s="256"/>
    </row>
    <row r="508" spans="1:12" s="15" customFormat="1" ht="28.5" customHeight="1">
      <c r="A508" s="73"/>
      <c r="B508" s="4" t="s">
        <v>178</v>
      </c>
      <c r="C508" s="91" t="s">
        <v>63</v>
      </c>
      <c r="D508" s="206" t="s">
        <v>109</v>
      </c>
      <c r="E508" s="178">
        <f>E504/E506</f>
        <v>0</v>
      </c>
      <c r="F508" s="178"/>
      <c r="G508" s="178">
        <f>E508</f>
        <v>0</v>
      </c>
      <c r="H508" s="204">
        <f>H504/H506</f>
        <v>0</v>
      </c>
      <c r="I508" s="391"/>
      <c r="J508" s="197">
        <f t="shared" si="25"/>
        <v>0</v>
      </c>
      <c r="K508" s="208"/>
      <c r="L508" s="208"/>
    </row>
    <row r="509" spans="1:12" s="15" customFormat="1" ht="28.5" customHeight="1">
      <c r="A509" s="73"/>
      <c r="B509" s="515" t="s">
        <v>185</v>
      </c>
      <c r="C509" s="515"/>
      <c r="D509" s="515"/>
      <c r="E509" s="515"/>
      <c r="F509" s="515"/>
      <c r="G509" s="515"/>
      <c r="H509" s="515"/>
      <c r="I509" s="516"/>
      <c r="J509" s="197">
        <f t="shared" si="25"/>
        <v>0</v>
      </c>
      <c r="K509" s="257"/>
      <c r="L509" s="258"/>
    </row>
    <row r="510" spans="1:12" s="15" customFormat="1" ht="25.5" customHeight="1">
      <c r="A510" s="173"/>
      <c r="B510" s="180" t="s">
        <v>51</v>
      </c>
      <c r="C510" s="475" t="s">
        <v>313</v>
      </c>
      <c r="D510" s="475"/>
      <c r="E510" s="475"/>
      <c r="F510" s="475"/>
      <c r="G510" s="475"/>
      <c r="H510" s="475"/>
      <c r="I510" s="490"/>
      <c r="J510" s="197">
        <f t="shared" si="25"/>
        <v>0</v>
      </c>
      <c r="K510" s="183"/>
      <c r="L510" s="183"/>
    </row>
    <row r="511" spans="1:12" s="15" customFormat="1" ht="16.5" customHeight="1">
      <c r="A511" s="174"/>
      <c r="B511" s="175" t="s">
        <v>150</v>
      </c>
      <c r="C511" s="91"/>
      <c r="D511" s="176"/>
      <c r="E511" s="476"/>
      <c r="F511" s="476"/>
      <c r="G511" s="177"/>
      <c r="H511" s="480"/>
      <c r="I511" s="488"/>
      <c r="J511" s="197">
        <f t="shared" si="25"/>
        <v>0</v>
      </c>
      <c r="K511" s="489"/>
      <c r="L511" s="489"/>
    </row>
    <row r="512" spans="1:12" s="15" customFormat="1" ht="43.5" customHeight="1">
      <c r="A512" s="174"/>
      <c r="B512" s="4" t="s">
        <v>151</v>
      </c>
      <c r="C512" s="91" t="s">
        <v>63</v>
      </c>
      <c r="D512" s="14" t="s">
        <v>401</v>
      </c>
      <c r="E512" s="178">
        <f>K193*1.067</f>
        <v>640200</v>
      </c>
      <c r="F512" s="178"/>
      <c r="G512" s="178">
        <f>E512</f>
        <v>640200</v>
      </c>
      <c r="H512" s="178">
        <f>E512*1.055</f>
        <v>675411</v>
      </c>
      <c r="I512" s="342"/>
      <c r="J512" s="197">
        <f t="shared" si="25"/>
        <v>675411</v>
      </c>
      <c r="K512" s="181"/>
      <c r="L512" s="181"/>
    </row>
    <row r="513" spans="1:12" s="15" customFormat="1" ht="15" customHeight="1">
      <c r="A513" s="174"/>
      <c r="B513" s="175" t="s">
        <v>152</v>
      </c>
      <c r="C513" s="91"/>
      <c r="D513" s="124"/>
      <c r="E513" s="178"/>
      <c r="F513" s="178"/>
      <c r="G513" s="178">
        <f>E513</f>
        <v>0</v>
      </c>
      <c r="H513" s="204"/>
      <c r="I513" s="390"/>
      <c r="J513" s="197">
        <f t="shared" si="25"/>
        <v>0</v>
      </c>
      <c r="K513" s="208"/>
      <c r="L513" s="256"/>
    </row>
    <row r="514" spans="1:12" s="15" customFormat="1" ht="73.5" customHeight="1">
      <c r="A514" s="174"/>
      <c r="B514" s="4" t="s">
        <v>217</v>
      </c>
      <c r="C514" s="91" t="s">
        <v>153</v>
      </c>
      <c r="D514" s="14" t="s">
        <v>179</v>
      </c>
      <c r="E514" s="178">
        <v>1</v>
      </c>
      <c r="F514" s="178"/>
      <c r="G514" s="178">
        <f>E514</f>
        <v>1</v>
      </c>
      <c r="H514" s="204">
        <v>1</v>
      </c>
      <c r="I514" s="391"/>
      <c r="J514" s="197">
        <f t="shared" si="25"/>
        <v>1</v>
      </c>
      <c r="K514" s="208"/>
      <c r="L514" s="208"/>
    </row>
    <row r="515" spans="1:12" s="15" customFormat="1" ht="15">
      <c r="A515" s="174"/>
      <c r="B515" s="175" t="s">
        <v>154</v>
      </c>
      <c r="C515" s="91"/>
      <c r="D515" s="109"/>
      <c r="E515" s="178"/>
      <c r="F515" s="178"/>
      <c r="G515" s="178">
        <f>E515</f>
        <v>0</v>
      </c>
      <c r="H515" s="204"/>
      <c r="I515" s="390"/>
      <c r="J515" s="197">
        <f t="shared" si="25"/>
        <v>0</v>
      </c>
      <c r="K515" s="208"/>
      <c r="L515" s="256"/>
    </row>
    <row r="516" spans="1:12" s="15" customFormat="1" ht="28.5" customHeight="1">
      <c r="A516" s="73"/>
      <c r="B516" s="4" t="s">
        <v>218</v>
      </c>
      <c r="C516" s="91" t="s">
        <v>63</v>
      </c>
      <c r="D516" s="206" t="s">
        <v>109</v>
      </c>
      <c r="E516" s="178">
        <f>E512/E514</f>
        <v>640200</v>
      </c>
      <c r="F516" s="178"/>
      <c r="G516" s="178">
        <f>E516</f>
        <v>640200</v>
      </c>
      <c r="H516" s="204">
        <f>H512/H514</f>
        <v>675411</v>
      </c>
      <c r="I516" s="391"/>
      <c r="J516" s="197">
        <f t="shared" si="25"/>
        <v>675411</v>
      </c>
      <c r="K516" s="208"/>
      <c r="L516" s="208"/>
    </row>
    <row r="517" spans="1:12" s="15" customFormat="1" ht="25.5" customHeight="1">
      <c r="A517" s="173"/>
      <c r="B517" s="180" t="s">
        <v>51</v>
      </c>
      <c r="C517" s="475" t="s">
        <v>290</v>
      </c>
      <c r="D517" s="475"/>
      <c r="E517" s="475"/>
      <c r="F517" s="475"/>
      <c r="G517" s="475"/>
      <c r="H517" s="475"/>
      <c r="I517" s="490"/>
      <c r="J517" s="197">
        <f t="shared" si="25"/>
        <v>0</v>
      </c>
      <c r="K517" s="183"/>
      <c r="L517" s="183"/>
    </row>
    <row r="518" spans="1:12" s="15" customFormat="1" ht="16.5" customHeight="1">
      <c r="A518" s="174"/>
      <c r="B518" s="175" t="s">
        <v>150</v>
      </c>
      <c r="C518" s="91"/>
      <c r="D518" s="176"/>
      <c r="E518" s="476"/>
      <c r="F518" s="476"/>
      <c r="G518" s="177"/>
      <c r="H518" s="480"/>
      <c r="I518" s="488"/>
      <c r="J518" s="197">
        <f t="shared" si="25"/>
        <v>0</v>
      </c>
      <c r="K518" s="489"/>
      <c r="L518" s="489"/>
    </row>
    <row r="519" spans="1:12" s="15" customFormat="1" ht="43.5" customHeight="1">
      <c r="A519" s="174"/>
      <c r="B519" s="4" t="s">
        <v>151</v>
      </c>
      <c r="C519" s="91" t="s">
        <v>63</v>
      </c>
      <c r="D519" s="2" t="s">
        <v>401</v>
      </c>
      <c r="E519" s="178">
        <f>K201*1.067</f>
        <v>106700</v>
      </c>
      <c r="F519" s="178"/>
      <c r="G519" s="178">
        <f>E519</f>
        <v>106700</v>
      </c>
      <c r="H519" s="178">
        <f>E519*1.055</f>
        <v>112568.5</v>
      </c>
      <c r="I519" s="342"/>
      <c r="J519" s="197">
        <f t="shared" si="25"/>
        <v>112568.5</v>
      </c>
      <c r="K519" s="181"/>
      <c r="L519" s="181"/>
    </row>
    <row r="520" spans="1:12" s="15" customFormat="1" ht="15" customHeight="1">
      <c r="A520" s="174"/>
      <c r="B520" s="175" t="s">
        <v>152</v>
      </c>
      <c r="C520" s="91"/>
      <c r="D520" s="124"/>
      <c r="E520" s="178"/>
      <c r="F520" s="178"/>
      <c r="G520" s="178">
        <f>E520</f>
        <v>0</v>
      </c>
      <c r="H520" s="204"/>
      <c r="I520" s="390"/>
      <c r="J520" s="197">
        <f t="shared" si="25"/>
        <v>0</v>
      </c>
      <c r="K520" s="208"/>
      <c r="L520" s="256"/>
    </row>
    <row r="521" spans="1:12" s="15" customFormat="1" ht="97.5" customHeight="1">
      <c r="A521" s="174"/>
      <c r="B521" s="4" t="s">
        <v>291</v>
      </c>
      <c r="C521" s="91" t="s">
        <v>153</v>
      </c>
      <c r="D521" s="14" t="s">
        <v>179</v>
      </c>
      <c r="E521" s="178">
        <v>10</v>
      </c>
      <c r="F521" s="178"/>
      <c r="G521" s="178">
        <f>E521</f>
        <v>10</v>
      </c>
      <c r="H521" s="204">
        <v>10</v>
      </c>
      <c r="I521" s="391"/>
      <c r="J521" s="197">
        <f t="shared" si="25"/>
        <v>10</v>
      </c>
      <c r="K521" s="208"/>
      <c r="L521" s="208"/>
    </row>
    <row r="522" spans="1:12" s="15" customFormat="1" ht="15">
      <c r="A522" s="174"/>
      <c r="B522" s="175" t="s">
        <v>154</v>
      </c>
      <c r="C522" s="91"/>
      <c r="D522" s="109"/>
      <c r="E522" s="178"/>
      <c r="F522" s="178"/>
      <c r="G522" s="178">
        <f>E522</f>
        <v>0</v>
      </c>
      <c r="H522" s="204"/>
      <c r="I522" s="390"/>
      <c r="J522" s="197">
        <f t="shared" si="25"/>
        <v>0</v>
      </c>
      <c r="K522" s="208"/>
      <c r="L522" s="256"/>
    </row>
    <row r="523" spans="1:12" s="15" customFormat="1" ht="28.5" customHeight="1">
      <c r="A523" s="73"/>
      <c r="B523" s="4" t="s">
        <v>218</v>
      </c>
      <c r="C523" s="91" t="s">
        <v>63</v>
      </c>
      <c r="D523" s="206" t="s">
        <v>109</v>
      </c>
      <c r="E523" s="178">
        <f>E519/E521</f>
        <v>10670</v>
      </c>
      <c r="F523" s="178"/>
      <c r="G523" s="178">
        <f>E523</f>
        <v>10670</v>
      </c>
      <c r="H523" s="204">
        <f>H519/H521</f>
        <v>11256.85</v>
      </c>
      <c r="I523" s="391"/>
      <c r="J523" s="197">
        <f t="shared" si="25"/>
        <v>11256.85</v>
      </c>
      <c r="K523" s="208"/>
      <c r="L523" s="208"/>
    </row>
    <row r="524" spans="1:12" s="15" customFormat="1" ht="25.5" customHeight="1">
      <c r="A524" s="173"/>
      <c r="B524" s="180" t="s">
        <v>51</v>
      </c>
      <c r="C524" s="475" t="s">
        <v>292</v>
      </c>
      <c r="D524" s="475"/>
      <c r="E524" s="475"/>
      <c r="F524" s="475"/>
      <c r="G524" s="475"/>
      <c r="H524" s="475"/>
      <c r="I524" s="490"/>
      <c r="J524" s="197">
        <f t="shared" si="25"/>
        <v>0</v>
      </c>
      <c r="K524" s="183"/>
      <c r="L524" s="183"/>
    </row>
    <row r="525" spans="1:12" s="15" customFormat="1" ht="16.5" customHeight="1">
      <c r="A525" s="174"/>
      <c r="B525" s="175" t="s">
        <v>150</v>
      </c>
      <c r="C525" s="91"/>
      <c r="D525" s="176"/>
      <c r="E525" s="476"/>
      <c r="F525" s="476"/>
      <c r="G525" s="177"/>
      <c r="H525" s="480"/>
      <c r="I525" s="488"/>
      <c r="J525" s="197">
        <f t="shared" si="25"/>
        <v>0</v>
      </c>
      <c r="K525" s="489"/>
      <c r="L525" s="489"/>
    </row>
    <row r="526" spans="1:12" s="15" customFormat="1" ht="43.5" customHeight="1">
      <c r="A526" s="174"/>
      <c r="B526" s="4" t="s">
        <v>151</v>
      </c>
      <c r="C526" s="91" t="s">
        <v>63</v>
      </c>
      <c r="D526" s="2" t="s">
        <v>401</v>
      </c>
      <c r="E526" s="178">
        <f>K208*1.067</f>
        <v>288090</v>
      </c>
      <c r="F526" s="178">
        <f>L208*1.067</f>
        <v>0</v>
      </c>
      <c r="G526" s="178">
        <f>E526+F526</f>
        <v>288090</v>
      </c>
      <c r="H526" s="178">
        <f>E526*1.055</f>
        <v>303934.94999999995</v>
      </c>
      <c r="I526" s="342">
        <f>F526*1.055</f>
        <v>0</v>
      </c>
      <c r="J526" s="197">
        <f t="shared" si="25"/>
        <v>303934.94999999995</v>
      </c>
      <c r="K526" s="181"/>
      <c r="L526" s="181"/>
    </row>
    <row r="527" spans="1:12" s="15" customFormat="1" ht="15" customHeight="1">
      <c r="A527" s="174"/>
      <c r="B527" s="175" t="s">
        <v>152</v>
      </c>
      <c r="C527" s="91"/>
      <c r="D527" s="124"/>
      <c r="E527" s="178"/>
      <c r="F527" s="178"/>
      <c r="G527" s="178">
        <f>E527+F527</f>
        <v>0</v>
      </c>
      <c r="H527" s="204"/>
      <c r="I527" s="390"/>
      <c r="J527" s="197">
        <f t="shared" si="25"/>
        <v>0</v>
      </c>
      <c r="K527" s="208"/>
      <c r="L527" s="256"/>
    </row>
    <row r="528" spans="1:12" s="15" customFormat="1" ht="97.5" customHeight="1">
      <c r="A528" s="174"/>
      <c r="B528" s="4" t="s">
        <v>293</v>
      </c>
      <c r="C528" s="91" t="s">
        <v>153</v>
      </c>
      <c r="D528" s="14" t="s">
        <v>179</v>
      </c>
      <c r="E528" s="178">
        <v>2</v>
      </c>
      <c r="F528" s="178">
        <v>1</v>
      </c>
      <c r="G528" s="178">
        <f>E528+F528</f>
        <v>3</v>
      </c>
      <c r="H528" s="204">
        <v>2</v>
      </c>
      <c r="I528" s="391">
        <v>1</v>
      </c>
      <c r="J528" s="197">
        <f t="shared" si="25"/>
        <v>2</v>
      </c>
      <c r="K528" s="208"/>
      <c r="L528" s="208"/>
    </row>
    <row r="529" spans="1:12" s="15" customFormat="1" ht="15">
      <c r="A529" s="174"/>
      <c r="B529" s="175" t="s">
        <v>154</v>
      </c>
      <c r="C529" s="91"/>
      <c r="D529" s="109"/>
      <c r="E529" s="178"/>
      <c r="F529" s="178"/>
      <c r="G529" s="178"/>
      <c r="H529" s="204"/>
      <c r="I529" s="390"/>
      <c r="J529" s="197">
        <f t="shared" si="25"/>
        <v>0</v>
      </c>
      <c r="K529" s="208"/>
      <c r="L529" s="256"/>
    </row>
    <row r="530" spans="1:12" s="15" customFormat="1" ht="28.5" customHeight="1">
      <c r="A530" s="73"/>
      <c r="B530" s="4" t="s">
        <v>321</v>
      </c>
      <c r="C530" s="91" t="s">
        <v>63</v>
      </c>
      <c r="D530" s="206" t="s">
        <v>109</v>
      </c>
      <c r="E530" s="178">
        <f>E526/E528</f>
        <v>144045</v>
      </c>
      <c r="F530" s="178">
        <f>F526/F528</f>
        <v>0</v>
      </c>
      <c r="G530" s="178">
        <f>G526/G528</f>
        <v>96030</v>
      </c>
      <c r="H530" s="204">
        <f>H526/H528</f>
        <v>151967.47499999998</v>
      </c>
      <c r="I530" s="391">
        <f>I526/I528</f>
        <v>0</v>
      </c>
      <c r="J530" s="197">
        <f t="shared" si="25"/>
        <v>151967.47499999998</v>
      </c>
      <c r="K530" s="208"/>
      <c r="L530" s="208"/>
    </row>
    <row r="531" spans="1:12" s="15" customFormat="1" ht="28.5" customHeight="1">
      <c r="A531" s="73"/>
      <c r="B531" s="4"/>
      <c r="C531" s="479" t="s">
        <v>223</v>
      </c>
      <c r="D531" s="479"/>
      <c r="E531" s="479"/>
      <c r="F531" s="479"/>
      <c r="G531" s="479"/>
      <c r="H531" s="479"/>
      <c r="I531" s="523"/>
      <c r="J531" s="197">
        <f t="shared" si="25"/>
        <v>0</v>
      </c>
      <c r="K531" s="265"/>
      <c r="L531" s="265"/>
    </row>
    <row r="532" spans="1:12" s="15" customFormat="1" ht="25.5" customHeight="1">
      <c r="A532" s="173"/>
      <c r="B532" s="180" t="s">
        <v>51</v>
      </c>
      <c r="C532" s="475"/>
      <c r="D532" s="475"/>
      <c r="E532" s="475"/>
      <c r="F532" s="475"/>
      <c r="G532" s="475"/>
      <c r="H532" s="475"/>
      <c r="I532" s="490"/>
      <c r="J532" s="197">
        <f t="shared" si="25"/>
        <v>0</v>
      </c>
      <c r="K532" s="183"/>
      <c r="L532" s="183"/>
    </row>
    <row r="533" spans="1:12" s="15" customFormat="1" ht="16.5" customHeight="1">
      <c r="A533" s="174"/>
      <c r="B533" s="175" t="s">
        <v>150</v>
      </c>
      <c r="C533" s="91"/>
      <c r="D533" s="176"/>
      <c r="E533" s="476"/>
      <c r="F533" s="476"/>
      <c r="G533" s="177"/>
      <c r="H533" s="480"/>
      <c r="I533" s="488"/>
      <c r="J533" s="197">
        <f t="shared" si="25"/>
        <v>0</v>
      </c>
      <c r="K533" s="489"/>
      <c r="L533" s="489"/>
    </row>
    <row r="534" spans="1:12" s="15" customFormat="1" ht="43.5" customHeight="1">
      <c r="A534" s="174"/>
      <c r="B534" s="4" t="s">
        <v>151</v>
      </c>
      <c r="C534" s="91" t="s">
        <v>63</v>
      </c>
      <c r="D534" s="2" t="s">
        <v>401</v>
      </c>
      <c r="E534" s="178">
        <f>K217*1.067</f>
        <v>42680</v>
      </c>
      <c r="F534" s="178"/>
      <c r="G534" s="178">
        <f>E534</f>
        <v>42680</v>
      </c>
      <c r="H534" s="178">
        <f>E534*1.055</f>
        <v>45027.399999999994</v>
      </c>
      <c r="I534" s="342"/>
      <c r="J534" s="197">
        <f t="shared" si="25"/>
        <v>45027.399999999994</v>
      </c>
      <c r="K534" s="181"/>
      <c r="L534" s="181"/>
    </row>
    <row r="535" spans="1:12" s="15" customFormat="1" ht="15" customHeight="1">
      <c r="A535" s="174"/>
      <c r="B535" s="175" t="s">
        <v>152</v>
      </c>
      <c r="C535" s="91"/>
      <c r="D535" s="124"/>
      <c r="E535" s="178"/>
      <c r="F535" s="178"/>
      <c r="G535" s="178">
        <f>E535</f>
        <v>0</v>
      </c>
      <c r="H535" s="204"/>
      <c r="I535" s="390"/>
      <c r="J535" s="197">
        <f t="shared" si="25"/>
        <v>0</v>
      </c>
      <c r="K535" s="208"/>
      <c r="L535" s="256"/>
    </row>
    <row r="536" spans="1:12" s="15" customFormat="1" ht="78" customHeight="1">
      <c r="A536" s="174"/>
      <c r="B536" s="4" t="s">
        <v>294</v>
      </c>
      <c r="C536" s="91" t="s">
        <v>153</v>
      </c>
      <c r="D536" s="14" t="s">
        <v>179</v>
      </c>
      <c r="E536" s="178">
        <v>2</v>
      </c>
      <c r="F536" s="178"/>
      <c r="G536" s="178">
        <f>E536</f>
        <v>2</v>
      </c>
      <c r="H536" s="204">
        <v>2</v>
      </c>
      <c r="I536" s="391"/>
      <c r="J536" s="197">
        <f t="shared" si="25"/>
        <v>2</v>
      </c>
      <c r="K536" s="208"/>
      <c r="L536" s="208"/>
    </row>
    <row r="537" spans="1:12" s="15" customFormat="1" ht="15">
      <c r="A537" s="174"/>
      <c r="B537" s="175" t="s">
        <v>154</v>
      </c>
      <c r="C537" s="91"/>
      <c r="D537" s="109"/>
      <c r="E537" s="178"/>
      <c r="F537" s="178"/>
      <c r="G537" s="178">
        <f>E537</f>
        <v>0</v>
      </c>
      <c r="H537" s="204"/>
      <c r="I537" s="390"/>
      <c r="J537" s="197">
        <f t="shared" si="25"/>
        <v>0</v>
      </c>
      <c r="K537" s="208"/>
      <c r="L537" s="256"/>
    </row>
    <row r="538" spans="1:12" s="15" customFormat="1" ht="28.5" customHeight="1">
      <c r="A538" s="73"/>
      <c r="B538" s="4" t="s">
        <v>226</v>
      </c>
      <c r="C538" s="91" t="s">
        <v>63</v>
      </c>
      <c r="D538" s="206" t="s">
        <v>109</v>
      </c>
      <c r="E538" s="178">
        <f>E534/E536</f>
        <v>21340</v>
      </c>
      <c r="F538" s="178"/>
      <c r="G538" s="178">
        <f>E538</f>
        <v>21340</v>
      </c>
      <c r="H538" s="204">
        <f>H534/H536</f>
        <v>22513.699999999997</v>
      </c>
      <c r="I538" s="391"/>
      <c r="J538" s="197">
        <f t="shared" si="25"/>
        <v>22513.699999999997</v>
      </c>
      <c r="K538" s="208"/>
      <c r="L538" s="208"/>
    </row>
    <row r="539" spans="1:12" s="15" customFormat="1" ht="28.5" customHeight="1" hidden="1">
      <c r="A539" s="73"/>
      <c r="B539" s="4"/>
      <c r="C539" s="479" t="s">
        <v>223</v>
      </c>
      <c r="D539" s="479"/>
      <c r="E539" s="479"/>
      <c r="F539" s="479"/>
      <c r="G539" s="479"/>
      <c r="H539" s="479"/>
      <c r="I539" s="523"/>
      <c r="J539" s="197">
        <f aca="true" t="shared" si="28" ref="J539:J602">H539</f>
        <v>0</v>
      </c>
      <c r="K539" s="259"/>
      <c r="L539" s="260"/>
    </row>
    <row r="540" spans="1:12" s="15" customFormat="1" ht="25.5" customHeight="1" hidden="1">
      <c r="A540" s="173"/>
      <c r="B540" s="180" t="s">
        <v>51</v>
      </c>
      <c r="C540" s="475" t="s">
        <v>224</v>
      </c>
      <c r="D540" s="475"/>
      <c r="E540" s="475"/>
      <c r="F540" s="475"/>
      <c r="G540" s="475"/>
      <c r="H540" s="475"/>
      <c r="I540" s="490"/>
      <c r="J540" s="197">
        <f t="shared" si="28"/>
        <v>0</v>
      </c>
      <c r="K540" s="254"/>
      <c r="L540" s="255"/>
    </row>
    <row r="541" spans="1:12" s="15" customFormat="1" ht="16.5" customHeight="1" hidden="1">
      <c r="A541" s="174"/>
      <c r="B541" s="175" t="s">
        <v>150</v>
      </c>
      <c r="C541" s="91"/>
      <c r="D541" s="176"/>
      <c r="E541" s="476"/>
      <c r="F541" s="476"/>
      <c r="G541" s="177"/>
      <c r="H541" s="480"/>
      <c r="I541" s="488"/>
      <c r="J541" s="197">
        <f t="shared" si="28"/>
        <v>0</v>
      </c>
      <c r="K541" s="489"/>
      <c r="L541" s="489"/>
    </row>
    <row r="542" spans="1:12" s="15" customFormat="1" ht="43.5" customHeight="1" hidden="1">
      <c r="A542" s="174"/>
      <c r="B542" s="4" t="s">
        <v>151</v>
      </c>
      <c r="C542" s="91" t="s">
        <v>63</v>
      </c>
      <c r="D542" s="2" t="s">
        <v>216</v>
      </c>
      <c r="E542" s="178">
        <v>0</v>
      </c>
      <c r="F542" s="178"/>
      <c r="G542" s="178"/>
      <c r="H542" s="178"/>
      <c r="I542" s="342"/>
      <c r="J542" s="197">
        <f t="shared" si="28"/>
        <v>0</v>
      </c>
      <c r="K542" s="181"/>
      <c r="L542" s="181"/>
    </row>
    <row r="543" spans="1:12" s="15" customFormat="1" ht="15" customHeight="1" hidden="1">
      <c r="A543" s="174"/>
      <c r="B543" s="175" t="s">
        <v>152</v>
      </c>
      <c r="C543" s="91"/>
      <c r="D543" s="124"/>
      <c r="E543" s="178"/>
      <c r="F543" s="178"/>
      <c r="G543" s="178"/>
      <c r="H543" s="204"/>
      <c r="I543" s="390"/>
      <c r="J543" s="197">
        <f t="shared" si="28"/>
        <v>0</v>
      </c>
      <c r="K543" s="208"/>
      <c r="L543" s="256"/>
    </row>
    <row r="544" spans="1:12" s="15" customFormat="1" ht="96" customHeight="1" hidden="1">
      <c r="A544" s="174"/>
      <c r="B544" s="4" t="s">
        <v>225</v>
      </c>
      <c r="C544" s="91" t="s">
        <v>153</v>
      </c>
      <c r="D544" s="14" t="s">
        <v>180</v>
      </c>
      <c r="E544" s="178">
        <v>0</v>
      </c>
      <c r="F544" s="178"/>
      <c r="G544" s="178"/>
      <c r="H544" s="204"/>
      <c r="I544" s="391"/>
      <c r="J544" s="197">
        <f t="shared" si="28"/>
        <v>0</v>
      </c>
      <c r="K544" s="208"/>
      <c r="L544" s="208"/>
    </row>
    <row r="545" spans="1:12" s="15" customFormat="1" ht="15" hidden="1">
      <c r="A545" s="174"/>
      <c r="B545" s="175" t="s">
        <v>154</v>
      </c>
      <c r="C545" s="91"/>
      <c r="D545" s="109"/>
      <c r="E545" s="178"/>
      <c r="F545" s="178"/>
      <c r="G545" s="178"/>
      <c r="H545" s="204"/>
      <c r="I545" s="390"/>
      <c r="J545" s="197">
        <f t="shared" si="28"/>
        <v>0</v>
      </c>
      <c r="K545" s="208"/>
      <c r="L545" s="256"/>
    </row>
    <row r="546" spans="1:12" s="15" customFormat="1" ht="28.5" customHeight="1" hidden="1">
      <c r="A546" s="73"/>
      <c r="B546" s="4" t="s">
        <v>226</v>
      </c>
      <c r="C546" s="91" t="s">
        <v>63</v>
      </c>
      <c r="D546" s="206" t="s">
        <v>109</v>
      </c>
      <c r="E546" s="178" t="e">
        <f>E542/E544</f>
        <v>#DIV/0!</v>
      </c>
      <c r="F546" s="178"/>
      <c r="G546" s="178"/>
      <c r="H546" s="204"/>
      <c r="I546" s="391"/>
      <c r="J546" s="197">
        <f t="shared" si="28"/>
        <v>0</v>
      </c>
      <c r="K546" s="208"/>
      <c r="L546" s="208"/>
    </row>
    <row r="547" spans="1:12" s="15" customFormat="1" ht="25.5" customHeight="1">
      <c r="A547" s="173"/>
      <c r="B547" s="180"/>
      <c r="C547" s="475" t="s">
        <v>356</v>
      </c>
      <c r="D547" s="475"/>
      <c r="E547" s="475"/>
      <c r="F547" s="475"/>
      <c r="G547" s="475"/>
      <c r="H547" s="475"/>
      <c r="I547" s="490"/>
      <c r="J547" s="197">
        <f t="shared" si="28"/>
        <v>0</v>
      </c>
      <c r="K547" s="183"/>
      <c r="L547" s="183"/>
    </row>
    <row r="548" spans="1:12" s="15" customFormat="1" ht="25.5" customHeight="1">
      <c r="A548" s="173"/>
      <c r="B548" s="180" t="s">
        <v>51</v>
      </c>
      <c r="C548" s="475" t="s">
        <v>397</v>
      </c>
      <c r="D548" s="475"/>
      <c r="E548" s="475"/>
      <c r="F548" s="475"/>
      <c r="G548" s="475"/>
      <c r="H548" s="475"/>
      <c r="I548" s="490"/>
      <c r="J548" s="197">
        <f t="shared" si="28"/>
        <v>0</v>
      </c>
      <c r="K548" s="183"/>
      <c r="L548" s="183"/>
    </row>
    <row r="549" spans="1:12" s="15" customFormat="1" ht="16.5" customHeight="1">
      <c r="A549" s="174"/>
      <c r="B549" s="175" t="s">
        <v>150</v>
      </c>
      <c r="C549" s="91"/>
      <c r="D549" s="176"/>
      <c r="E549" s="476"/>
      <c r="F549" s="476"/>
      <c r="G549" s="177"/>
      <c r="H549" s="480"/>
      <c r="I549" s="488"/>
      <c r="J549" s="197">
        <f t="shared" si="28"/>
        <v>0</v>
      </c>
      <c r="K549" s="489"/>
      <c r="L549" s="489"/>
    </row>
    <row r="550" spans="1:12" s="15" customFormat="1" ht="43.5" customHeight="1">
      <c r="A550" s="174"/>
      <c r="B550" s="4" t="s">
        <v>151</v>
      </c>
      <c r="C550" s="91" t="s">
        <v>63</v>
      </c>
      <c r="D550" s="2" t="s">
        <v>401</v>
      </c>
      <c r="E550" s="178">
        <f>K225*1.067</f>
        <v>0</v>
      </c>
      <c r="F550" s="178"/>
      <c r="G550" s="178">
        <f aca="true" t="shared" si="29" ref="G550:G555">E550</f>
        <v>0</v>
      </c>
      <c r="H550" s="178">
        <f>E550*1.055</f>
        <v>0</v>
      </c>
      <c r="I550" s="342"/>
      <c r="J550" s="197">
        <f t="shared" si="28"/>
        <v>0</v>
      </c>
      <c r="K550" s="181"/>
      <c r="L550" s="181"/>
    </row>
    <row r="551" spans="1:12" s="15" customFormat="1" ht="15" customHeight="1">
      <c r="A551" s="174"/>
      <c r="B551" s="175" t="s">
        <v>152</v>
      </c>
      <c r="C551" s="91"/>
      <c r="D551" s="124"/>
      <c r="E551" s="178"/>
      <c r="F551" s="178"/>
      <c r="G551" s="178">
        <f t="shared" si="29"/>
        <v>0</v>
      </c>
      <c r="H551" s="204"/>
      <c r="I551" s="390"/>
      <c r="J551" s="197">
        <f t="shared" si="28"/>
        <v>0</v>
      </c>
      <c r="K551" s="208"/>
      <c r="L551" s="256"/>
    </row>
    <row r="552" spans="1:12" s="15" customFormat="1" ht="89.25" customHeight="1">
      <c r="A552" s="174"/>
      <c r="B552" s="4" t="s">
        <v>294</v>
      </c>
      <c r="C552" s="91" t="s">
        <v>153</v>
      </c>
      <c r="D552" s="483" t="s">
        <v>179</v>
      </c>
      <c r="E552" s="178">
        <v>1</v>
      </c>
      <c r="F552" s="178"/>
      <c r="G552" s="178">
        <f t="shared" si="29"/>
        <v>1</v>
      </c>
      <c r="H552" s="204">
        <v>1</v>
      </c>
      <c r="I552" s="391"/>
      <c r="J552" s="197">
        <f t="shared" si="28"/>
        <v>1</v>
      </c>
      <c r="K552" s="208"/>
      <c r="L552" s="208"/>
    </row>
    <row r="553" spans="1:12" s="15" customFormat="1" ht="41.25" customHeight="1" hidden="1">
      <c r="A553" s="174"/>
      <c r="B553" s="4" t="s">
        <v>220</v>
      </c>
      <c r="C553" s="91" t="s">
        <v>221</v>
      </c>
      <c r="D553" s="483"/>
      <c r="E553" s="178"/>
      <c r="F553" s="178"/>
      <c r="G553" s="178">
        <f t="shared" si="29"/>
        <v>0</v>
      </c>
      <c r="H553" s="204"/>
      <c r="I553" s="391"/>
      <c r="J553" s="197">
        <f t="shared" si="28"/>
        <v>0</v>
      </c>
      <c r="K553" s="208"/>
      <c r="L553" s="208"/>
    </row>
    <row r="554" spans="1:12" s="15" customFormat="1" ht="15">
      <c r="A554" s="174"/>
      <c r="B554" s="175" t="s">
        <v>154</v>
      </c>
      <c r="C554" s="91"/>
      <c r="D554" s="109"/>
      <c r="E554" s="178"/>
      <c r="F554" s="178"/>
      <c r="G554" s="178">
        <f t="shared" si="29"/>
        <v>0</v>
      </c>
      <c r="H554" s="204"/>
      <c r="I554" s="390"/>
      <c r="J554" s="197">
        <f t="shared" si="28"/>
        <v>0</v>
      </c>
      <c r="K554" s="208"/>
      <c r="L554" s="256"/>
    </row>
    <row r="555" spans="1:12" s="15" customFormat="1" ht="28.5" customHeight="1">
      <c r="A555" s="73"/>
      <c r="B555" s="4" t="s">
        <v>398</v>
      </c>
      <c r="C555" s="91" t="s">
        <v>63</v>
      </c>
      <c r="D555" s="206" t="s">
        <v>109</v>
      </c>
      <c r="E555" s="178">
        <f>E550/E552</f>
        <v>0</v>
      </c>
      <c r="F555" s="178"/>
      <c r="G555" s="178">
        <f t="shared" si="29"/>
        <v>0</v>
      </c>
      <c r="H555" s="204">
        <f>H550/H552</f>
        <v>0</v>
      </c>
      <c r="I555" s="391"/>
      <c r="J555" s="197">
        <f t="shared" si="28"/>
        <v>0</v>
      </c>
      <c r="K555" s="208"/>
      <c r="L555" s="208"/>
    </row>
    <row r="556" spans="1:12" s="15" customFormat="1" ht="25.5" customHeight="1">
      <c r="A556" s="173"/>
      <c r="B556" s="180" t="s">
        <v>51</v>
      </c>
      <c r="C556" s="475" t="s">
        <v>191</v>
      </c>
      <c r="D556" s="475"/>
      <c r="E556" s="475"/>
      <c r="F556" s="475"/>
      <c r="G556" s="475"/>
      <c r="H556" s="475"/>
      <c r="I556" s="490"/>
      <c r="J556" s="197">
        <f t="shared" si="28"/>
        <v>0</v>
      </c>
      <c r="K556" s="183"/>
      <c r="L556" s="184"/>
    </row>
    <row r="557" spans="1:12" s="15" customFormat="1" ht="25.5" customHeight="1">
      <c r="A557" s="173"/>
      <c r="B557" s="180" t="s">
        <v>51</v>
      </c>
      <c r="C557" s="475" t="s">
        <v>186</v>
      </c>
      <c r="D557" s="475"/>
      <c r="E557" s="475"/>
      <c r="F557" s="475"/>
      <c r="G557" s="475"/>
      <c r="H557" s="475"/>
      <c r="I557" s="490"/>
      <c r="J557" s="197">
        <f t="shared" si="28"/>
        <v>0</v>
      </c>
      <c r="K557" s="183"/>
      <c r="L557" s="183"/>
    </row>
    <row r="558" spans="1:12" s="15" customFormat="1" ht="16.5" customHeight="1">
      <c r="A558" s="174"/>
      <c r="B558" s="175" t="s">
        <v>150</v>
      </c>
      <c r="C558" s="91"/>
      <c r="D558" s="176"/>
      <c r="E558" s="476"/>
      <c r="F558" s="476"/>
      <c r="G558" s="177"/>
      <c r="H558" s="480"/>
      <c r="I558" s="488"/>
      <c r="J558" s="197">
        <f t="shared" si="28"/>
        <v>0</v>
      </c>
      <c r="K558" s="489"/>
      <c r="L558" s="489"/>
    </row>
    <row r="559" spans="1:12" s="15" customFormat="1" ht="43.5" customHeight="1">
      <c r="A559" s="174"/>
      <c r="B559" s="4" t="s">
        <v>151</v>
      </c>
      <c r="C559" s="91" t="s">
        <v>63</v>
      </c>
      <c r="D559" s="2" t="s">
        <v>401</v>
      </c>
      <c r="E559" s="178">
        <f>K233*1.067</f>
        <v>192060</v>
      </c>
      <c r="F559" s="178"/>
      <c r="G559" s="178">
        <f>E559</f>
        <v>192060</v>
      </c>
      <c r="H559" s="178">
        <f>E559*1.055</f>
        <v>202623.3</v>
      </c>
      <c r="I559" s="342"/>
      <c r="J559" s="197">
        <f t="shared" si="28"/>
        <v>202623.3</v>
      </c>
      <c r="K559" s="181"/>
      <c r="L559" s="181"/>
    </row>
    <row r="560" spans="1:12" s="15" customFormat="1" ht="15" customHeight="1">
      <c r="A560" s="174"/>
      <c r="B560" s="175" t="s">
        <v>152</v>
      </c>
      <c r="C560" s="91"/>
      <c r="D560" s="124"/>
      <c r="E560" s="178"/>
      <c r="F560" s="178"/>
      <c r="G560" s="178">
        <f>E560</f>
        <v>0</v>
      </c>
      <c r="H560" s="204"/>
      <c r="I560" s="390"/>
      <c r="J560" s="197">
        <f t="shared" si="28"/>
        <v>0</v>
      </c>
      <c r="K560" s="208"/>
      <c r="L560" s="256"/>
    </row>
    <row r="561" spans="1:12" s="15" customFormat="1" ht="75" customHeight="1">
      <c r="A561" s="174"/>
      <c r="B561" s="4" t="s">
        <v>227</v>
      </c>
      <c r="C561" s="91" t="s">
        <v>153</v>
      </c>
      <c r="D561" s="14" t="s">
        <v>179</v>
      </c>
      <c r="E561" s="178">
        <v>18</v>
      </c>
      <c r="F561" s="178"/>
      <c r="G561" s="178">
        <f>E561</f>
        <v>18</v>
      </c>
      <c r="H561" s="204">
        <v>18</v>
      </c>
      <c r="I561" s="391"/>
      <c r="J561" s="197">
        <f t="shared" si="28"/>
        <v>18</v>
      </c>
      <c r="K561" s="208"/>
      <c r="L561" s="208"/>
    </row>
    <row r="562" spans="1:12" s="15" customFormat="1" ht="15">
      <c r="A562" s="174"/>
      <c r="B562" s="175" t="s">
        <v>154</v>
      </c>
      <c r="C562" s="91"/>
      <c r="D562" s="109"/>
      <c r="E562" s="178"/>
      <c r="F562" s="178"/>
      <c r="G562" s="178">
        <f>E562</f>
        <v>0</v>
      </c>
      <c r="H562" s="204"/>
      <c r="I562" s="390"/>
      <c r="J562" s="197">
        <f t="shared" si="28"/>
        <v>0</v>
      </c>
      <c r="K562" s="208"/>
      <c r="L562" s="256"/>
    </row>
    <row r="563" spans="1:12" s="15" customFormat="1" ht="28.5" customHeight="1">
      <c r="A563" s="73"/>
      <c r="B563" s="4" t="s">
        <v>228</v>
      </c>
      <c r="C563" s="91" t="s">
        <v>63</v>
      </c>
      <c r="D563" s="206" t="s">
        <v>109</v>
      </c>
      <c r="E563" s="178">
        <f>E559/E561</f>
        <v>10670</v>
      </c>
      <c r="F563" s="178"/>
      <c r="G563" s="178">
        <f>E563</f>
        <v>10670</v>
      </c>
      <c r="H563" s="204">
        <f>H559/H561</f>
        <v>11256.849999999999</v>
      </c>
      <c r="I563" s="391"/>
      <c r="J563" s="197">
        <f t="shared" si="28"/>
        <v>11256.849999999999</v>
      </c>
      <c r="K563" s="208"/>
      <c r="L563" s="208"/>
    </row>
    <row r="564" spans="1:12" s="15" customFormat="1" ht="25.5" customHeight="1" hidden="1">
      <c r="A564" s="173"/>
      <c r="B564" s="180" t="s">
        <v>51</v>
      </c>
      <c r="C564" s="475" t="s">
        <v>229</v>
      </c>
      <c r="D564" s="475"/>
      <c r="E564" s="475"/>
      <c r="F564" s="475"/>
      <c r="G564" s="475"/>
      <c r="H564" s="475"/>
      <c r="I564" s="490"/>
      <c r="J564" s="197">
        <f t="shared" si="28"/>
        <v>0</v>
      </c>
      <c r="K564" s="251"/>
      <c r="L564" s="253"/>
    </row>
    <row r="565" spans="1:12" s="15" customFormat="1" ht="16.5" customHeight="1" hidden="1">
      <c r="A565" s="174"/>
      <c r="B565" s="175" t="s">
        <v>150</v>
      </c>
      <c r="C565" s="91"/>
      <c r="D565" s="176"/>
      <c r="E565" s="476"/>
      <c r="F565" s="476"/>
      <c r="G565" s="177"/>
      <c r="H565" s="480"/>
      <c r="I565" s="488"/>
      <c r="J565" s="197">
        <f t="shared" si="28"/>
        <v>0</v>
      </c>
      <c r="K565" s="491"/>
      <c r="L565" s="492"/>
    </row>
    <row r="566" spans="1:12" s="15" customFormat="1" ht="43.5" customHeight="1" hidden="1">
      <c r="A566" s="174"/>
      <c r="B566" s="4" t="s">
        <v>151</v>
      </c>
      <c r="C566" s="91" t="s">
        <v>63</v>
      </c>
      <c r="D566" s="2" t="s">
        <v>216</v>
      </c>
      <c r="E566" s="178">
        <v>0</v>
      </c>
      <c r="F566" s="178"/>
      <c r="G566" s="178"/>
      <c r="H566" s="178"/>
      <c r="I566" s="342"/>
      <c r="J566" s="197">
        <f t="shared" si="28"/>
        <v>0</v>
      </c>
      <c r="K566" s="199"/>
      <c r="L566" s="178"/>
    </row>
    <row r="567" spans="1:12" s="15" customFormat="1" ht="15" customHeight="1" hidden="1">
      <c r="A567" s="174"/>
      <c r="B567" s="175" t="s">
        <v>152</v>
      </c>
      <c r="C567" s="91"/>
      <c r="D567" s="124"/>
      <c r="E567" s="178"/>
      <c r="F567" s="178"/>
      <c r="G567" s="178"/>
      <c r="H567" s="204"/>
      <c r="I567" s="390"/>
      <c r="J567" s="197">
        <f t="shared" si="28"/>
        <v>0</v>
      </c>
      <c r="K567" s="246"/>
      <c r="L567" s="205"/>
    </row>
    <row r="568" spans="1:12" s="15" customFormat="1" ht="96" customHeight="1" hidden="1">
      <c r="A568" s="174"/>
      <c r="B568" s="4" t="s">
        <v>230</v>
      </c>
      <c r="C568" s="91" t="s">
        <v>153</v>
      </c>
      <c r="D568" s="14" t="s">
        <v>180</v>
      </c>
      <c r="E568" s="178">
        <v>0</v>
      </c>
      <c r="F568" s="178"/>
      <c r="G568" s="178"/>
      <c r="H568" s="204"/>
      <c r="I568" s="391"/>
      <c r="J568" s="197">
        <f t="shared" si="28"/>
        <v>0</v>
      </c>
      <c r="K568" s="246"/>
      <c r="L568" s="204"/>
    </row>
    <row r="569" spans="1:12" s="15" customFormat="1" ht="15" hidden="1">
      <c r="A569" s="174"/>
      <c r="B569" s="175" t="s">
        <v>154</v>
      </c>
      <c r="C569" s="91"/>
      <c r="D569" s="109"/>
      <c r="E569" s="178"/>
      <c r="F569" s="178"/>
      <c r="G569" s="178"/>
      <c r="H569" s="204"/>
      <c r="I569" s="390"/>
      <c r="J569" s="197">
        <f t="shared" si="28"/>
        <v>0</v>
      </c>
      <c r="K569" s="246"/>
      <c r="L569" s="205"/>
    </row>
    <row r="570" spans="1:12" s="15" customFormat="1" ht="28.5" customHeight="1" hidden="1">
      <c r="A570" s="73"/>
      <c r="B570" s="4" t="s">
        <v>231</v>
      </c>
      <c r="C570" s="91" t="s">
        <v>63</v>
      </c>
      <c r="D570" s="206" t="s">
        <v>109</v>
      </c>
      <c r="E570" s="178"/>
      <c r="F570" s="178"/>
      <c r="G570" s="178"/>
      <c r="H570" s="204"/>
      <c r="I570" s="391"/>
      <c r="J570" s="197">
        <f t="shared" si="28"/>
        <v>0</v>
      </c>
      <c r="K570" s="261"/>
      <c r="L570" s="262"/>
    </row>
    <row r="571" spans="1:12" s="37" customFormat="1" ht="25.5" customHeight="1">
      <c r="A571" s="281"/>
      <c r="B571" s="289" t="s">
        <v>51</v>
      </c>
      <c r="C571" s="493" t="s">
        <v>260</v>
      </c>
      <c r="D571" s="493"/>
      <c r="E571" s="493"/>
      <c r="F571" s="493"/>
      <c r="G571" s="493"/>
      <c r="H571" s="493"/>
      <c r="I571" s="494"/>
      <c r="J571" s="197">
        <f t="shared" si="28"/>
        <v>0</v>
      </c>
      <c r="K571" s="292"/>
      <c r="L571" s="293"/>
    </row>
    <row r="572" spans="1:12" s="37" customFormat="1" ht="16.5" customHeight="1">
      <c r="A572" s="288"/>
      <c r="B572" s="290" t="s">
        <v>150</v>
      </c>
      <c r="C572" s="206"/>
      <c r="D572" s="291"/>
      <c r="E572" s="480"/>
      <c r="F572" s="480"/>
      <c r="G572" s="268"/>
      <c r="H572" s="480"/>
      <c r="I572" s="488"/>
      <c r="J572" s="197">
        <f t="shared" si="28"/>
        <v>0</v>
      </c>
      <c r="K572" s="517"/>
      <c r="L572" s="517"/>
    </row>
    <row r="573" spans="1:12" s="37" customFormat="1" ht="43.5" customHeight="1">
      <c r="A573" s="288"/>
      <c r="B573" s="286" t="s">
        <v>151</v>
      </c>
      <c r="C573" s="206" t="s">
        <v>63</v>
      </c>
      <c r="D573" s="287" t="s">
        <v>401</v>
      </c>
      <c r="E573" s="178">
        <f>K240*1.067</f>
        <v>507892</v>
      </c>
      <c r="F573" s="178"/>
      <c r="G573" s="178">
        <f>E573</f>
        <v>507892</v>
      </c>
      <c r="H573" s="178">
        <f>E573*1.055</f>
        <v>535826.0599999999</v>
      </c>
      <c r="I573" s="342"/>
      <c r="J573" s="197">
        <f t="shared" si="28"/>
        <v>535826.0599999999</v>
      </c>
      <c r="K573" s="181"/>
      <c r="L573" s="181"/>
    </row>
    <row r="574" spans="1:12" s="37" customFormat="1" ht="15" customHeight="1">
      <c r="A574" s="288"/>
      <c r="B574" s="290" t="s">
        <v>152</v>
      </c>
      <c r="C574" s="206"/>
      <c r="D574" s="272"/>
      <c r="E574" s="178"/>
      <c r="F574" s="178"/>
      <c r="G574" s="178">
        <f aca="true" t="shared" si="30" ref="G574:G580">E574</f>
        <v>0</v>
      </c>
      <c r="H574" s="204"/>
      <c r="I574" s="390"/>
      <c r="J574" s="197">
        <f t="shared" si="28"/>
        <v>0</v>
      </c>
      <c r="K574" s="208"/>
      <c r="L574" s="256"/>
    </row>
    <row r="575" spans="1:12" s="37" customFormat="1" ht="34.5" customHeight="1">
      <c r="A575" s="288"/>
      <c r="B575" s="134" t="s">
        <v>298</v>
      </c>
      <c r="C575" s="206"/>
      <c r="D575" s="524" t="s">
        <v>179</v>
      </c>
      <c r="E575" s="178">
        <v>1</v>
      </c>
      <c r="F575" s="178"/>
      <c r="G575" s="178">
        <f t="shared" si="30"/>
        <v>1</v>
      </c>
      <c r="H575" s="204">
        <v>1</v>
      </c>
      <c r="I575" s="390"/>
      <c r="J575" s="197">
        <f t="shared" si="28"/>
        <v>1</v>
      </c>
      <c r="K575" s="208"/>
      <c r="L575" s="256"/>
    </row>
    <row r="576" spans="1:12" s="37" customFormat="1" ht="44.25" customHeight="1">
      <c r="A576" s="288"/>
      <c r="B576" s="286" t="s">
        <v>219</v>
      </c>
      <c r="C576" s="206" t="s">
        <v>153</v>
      </c>
      <c r="D576" s="525"/>
      <c r="E576" s="178">
        <v>35</v>
      </c>
      <c r="F576" s="178"/>
      <c r="G576" s="178">
        <f t="shared" si="30"/>
        <v>35</v>
      </c>
      <c r="H576" s="204">
        <v>35</v>
      </c>
      <c r="I576" s="391"/>
      <c r="J576" s="197">
        <f t="shared" si="28"/>
        <v>35</v>
      </c>
      <c r="K576" s="208"/>
      <c r="L576" s="208"/>
    </row>
    <row r="577" spans="1:12" s="37" customFormat="1" ht="41.25" customHeight="1">
      <c r="A577" s="288"/>
      <c r="B577" s="286" t="s">
        <v>220</v>
      </c>
      <c r="C577" s="206" t="s">
        <v>221</v>
      </c>
      <c r="D577" s="526"/>
      <c r="E577" s="178">
        <v>12</v>
      </c>
      <c r="F577" s="178"/>
      <c r="G577" s="178">
        <f t="shared" si="30"/>
        <v>12</v>
      </c>
      <c r="H577" s="204">
        <v>12</v>
      </c>
      <c r="I577" s="391"/>
      <c r="J577" s="197">
        <f t="shared" si="28"/>
        <v>12</v>
      </c>
      <c r="K577" s="208"/>
      <c r="L577" s="208"/>
    </row>
    <row r="578" spans="1:12" s="37" customFormat="1" ht="15">
      <c r="A578" s="288"/>
      <c r="B578" s="290" t="s">
        <v>154</v>
      </c>
      <c r="C578" s="206"/>
      <c r="D578" s="109"/>
      <c r="E578" s="178"/>
      <c r="F578" s="178"/>
      <c r="G578" s="178">
        <f t="shared" si="30"/>
        <v>0</v>
      </c>
      <c r="H578" s="204"/>
      <c r="I578" s="390"/>
      <c r="J578" s="197">
        <f t="shared" si="28"/>
        <v>0</v>
      </c>
      <c r="K578" s="208"/>
      <c r="L578" s="256"/>
    </row>
    <row r="579" spans="1:12" s="37" customFormat="1" ht="30" customHeight="1">
      <c r="A579" s="288"/>
      <c r="B579" s="134" t="s">
        <v>299</v>
      </c>
      <c r="C579" s="206"/>
      <c r="D579" s="206" t="s">
        <v>109</v>
      </c>
      <c r="E579" s="178">
        <f>K246*1.067</f>
        <v>106700</v>
      </c>
      <c r="F579" s="178"/>
      <c r="G579" s="178">
        <f t="shared" si="30"/>
        <v>106700</v>
      </c>
      <c r="H579" s="204">
        <f>E579*1.055</f>
        <v>112568.5</v>
      </c>
      <c r="I579" s="390"/>
      <c r="J579" s="197">
        <f t="shared" si="28"/>
        <v>112568.5</v>
      </c>
      <c r="K579" s="208"/>
      <c r="L579" s="256"/>
    </row>
    <row r="580" spans="1:12" s="37" customFormat="1" ht="28.5" customHeight="1">
      <c r="A580" s="109"/>
      <c r="B580" s="286" t="s">
        <v>222</v>
      </c>
      <c r="C580" s="206" t="s">
        <v>63</v>
      </c>
      <c r="D580" s="206" t="s">
        <v>109</v>
      </c>
      <c r="E580" s="178">
        <f>(E573-E579)/E576/E577</f>
        <v>955.2190476190476</v>
      </c>
      <c r="F580" s="178"/>
      <c r="G580" s="178">
        <f t="shared" si="30"/>
        <v>955.2190476190476</v>
      </c>
      <c r="H580" s="204">
        <f>(H573-H579)/H576/H577</f>
        <v>1007.7560952380951</v>
      </c>
      <c r="I580" s="391"/>
      <c r="J580" s="197">
        <f t="shared" si="28"/>
        <v>1007.7560952380951</v>
      </c>
      <c r="K580" s="208"/>
      <c r="L580" s="208"/>
    </row>
    <row r="581" spans="1:12" s="15" customFormat="1" ht="25.5" customHeight="1">
      <c r="A581" s="173"/>
      <c r="B581" s="180" t="s">
        <v>51</v>
      </c>
      <c r="C581" s="475" t="s">
        <v>192</v>
      </c>
      <c r="D581" s="475"/>
      <c r="E581" s="475"/>
      <c r="F581" s="475"/>
      <c r="G581" s="475"/>
      <c r="H581" s="475"/>
      <c r="I581" s="490"/>
      <c r="J581" s="197">
        <f t="shared" si="28"/>
        <v>0</v>
      </c>
      <c r="K581" s="183"/>
      <c r="L581" s="183"/>
    </row>
    <row r="582" spans="1:12" s="15" customFormat="1" ht="16.5" customHeight="1">
      <c r="A582" s="174"/>
      <c r="B582" s="175" t="s">
        <v>150</v>
      </c>
      <c r="C582" s="91"/>
      <c r="D582" s="176"/>
      <c r="E582" s="476"/>
      <c r="F582" s="476"/>
      <c r="G582" s="177"/>
      <c r="H582" s="480"/>
      <c r="I582" s="488"/>
      <c r="J582" s="197">
        <f t="shared" si="28"/>
        <v>0</v>
      </c>
      <c r="K582" s="489"/>
      <c r="L582" s="489"/>
    </row>
    <row r="583" spans="1:12" s="15" customFormat="1" ht="43.5" customHeight="1">
      <c r="A583" s="174"/>
      <c r="B583" s="4" t="s">
        <v>151</v>
      </c>
      <c r="C583" s="91" t="s">
        <v>63</v>
      </c>
      <c r="D583" s="2" t="s">
        <v>401</v>
      </c>
      <c r="E583" s="178">
        <f>K251*1.067</f>
        <v>208065</v>
      </c>
      <c r="F583" s="178"/>
      <c r="G583" s="178">
        <f>E583</f>
        <v>208065</v>
      </c>
      <c r="H583" s="178">
        <f>E583*1.055</f>
        <v>219508.57499999998</v>
      </c>
      <c r="I583" s="342"/>
      <c r="J583" s="197">
        <f t="shared" si="28"/>
        <v>219508.57499999998</v>
      </c>
      <c r="K583" s="181"/>
      <c r="L583" s="181"/>
    </row>
    <row r="584" spans="1:12" s="15" customFormat="1" ht="15" customHeight="1">
      <c r="A584" s="174"/>
      <c r="B584" s="175" t="s">
        <v>152</v>
      </c>
      <c r="C584" s="91"/>
      <c r="D584" s="124"/>
      <c r="E584" s="178"/>
      <c r="F584" s="178"/>
      <c r="G584" s="178">
        <f>E584</f>
        <v>0</v>
      </c>
      <c r="H584" s="204"/>
      <c r="I584" s="390"/>
      <c r="J584" s="197">
        <f t="shared" si="28"/>
        <v>0</v>
      </c>
      <c r="K584" s="208"/>
      <c r="L584" s="256"/>
    </row>
    <row r="585" spans="1:12" s="15" customFormat="1" ht="75" customHeight="1">
      <c r="A585" s="174"/>
      <c r="B585" s="4" t="s">
        <v>230</v>
      </c>
      <c r="C585" s="91" t="s">
        <v>153</v>
      </c>
      <c r="D585" s="14" t="s">
        <v>179</v>
      </c>
      <c r="E585" s="178">
        <v>65</v>
      </c>
      <c r="F585" s="178"/>
      <c r="G585" s="178">
        <f>E585</f>
        <v>65</v>
      </c>
      <c r="H585" s="204">
        <v>65</v>
      </c>
      <c r="I585" s="391"/>
      <c r="J585" s="197">
        <f t="shared" si="28"/>
        <v>65</v>
      </c>
      <c r="K585" s="208"/>
      <c r="L585" s="208"/>
    </row>
    <row r="586" spans="1:12" s="15" customFormat="1" ht="15">
      <c r="A586" s="174"/>
      <c r="B586" s="175" t="s">
        <v>154</v>
      </c>
      <c r="C586" s="91"/>
      <c r="D586" s="109"/>
      <c r="E586" s="178"/>
      <c r="F586" s="178"/>
      <c r="G586" s="178">
        <f>E586</f>
        <v>0</v>
      </c>
      <c r="H586" s="204"/>
      <c r="I586" s="390"/>
      <c r="J586" s="197">
        <f t="shared" si="28"/>
        <v>0</v>
      </c>
      <c r="K586" s="208"/>
      <c r="L586" s="256"/>
    </row>
    <row r="587" spans="1:12" s="15" customFormat="1" ht="28.5" customHeight="1">
      <c r="A587" s="73"/>
      <c r="B587" s="4" t="s">
        <v>222</v>
      </c>
      <c r="C587" s="91" t="s">
        <v>63</v>
      </c>
      <c r="D587" s="206" t="s">
        <v>109</v>
      </c>
      <c r="E587" s="178">
        <f>E583/E585</f>
        <v>3201</v>
      </c>
      <c r="F587" s="178"/>
      <c r="G587" s="178">
        <f>E587</f>
        <v>3201</v>
      </c>
      <c r="H587" s="204">
        <f>H583/H585</f>
        <v>3377.055</v>
      </c>
      <c r="I587" s="391"/>
      <c r="J587" s="197">
        <f t="shared" si="28"/>
        <v>3377.055</v>
      </c>
      <c r="K587" s="208"/>
      <c r="L587" s="208"/>
    </row>
    <row r="588" spans="1:12" s="15" customFormat="1" ht="25.5" customHeight="1">
      <c r="A588" s="173"/>
      <c r="B588" s="180" t="s">
        <v>51</v>
      </c>
      <c r="C588" s="475" t="s">
        <v>238</v>
      </c>
      <c r="D588" s="475"/>
      <c r="E588" s="475"/>
      <c r="F588" s="475"/>
      <c r="G588" s="475"/>
      <c r="H588" s="475"/>
      <c r="I588" s="490"/>
      <c r="J588" s="197">
        <f t="shared" si="28"/>
        <v>0</v>
      </c>
      <c r="K588" s="183"/>
      <c r="L588" s="184"/>
    </row>
    <row r="589" spans="1:12" s="15" customFormat="1" ht="16.5" customHeight="1">
      <c r="A589" s="174"/>
      <c r="B589" s="175" t="s">
        <v>150</v>
      </c>
      <c r="C589" s="91"/>
      <c r="D589" s="176"/>
      <c r="E589" s="476"/>
      <c r="F589" s="476"/>
      <c r="G589" s="177"/>
      <c r="H589" s="480"/>
      <c r="I589" s="488"/>
      <c r="J589" s="197">
        <f t="shared" si="28"/>
        <v>0</v>
      </c>
      <c r="K589" s="489"/>
      <c r="L589" s="489"/>
    </row>
    <row r="590" spans="1:12" s="15" customFormat="1" ht="43.5" customHeight="1">
      <c r="A590" s="174"/>
      <c r="B590" s="4" t="s">
        <v>151</v>
      </c>
      <c r="C590" s="91" t="s">
        <v>63</v>
      </c>
      <c r="D590" s="2" t="s">
        <v>401</v>
      </c>
      <c r="E590" s="178">
        <f>K275*1.067</f>
        <v>409728</v>
      </c>
      <c r="F590" s="178"/>
      <c r="G590" s="178">
        <f aca="true" t="shared" si="31" ref="G590:G595">E590</f>
        <v>409728</v>
      </c>
      <c r="H590" s="178">
        <f>E590*1.055</f>
        <v>432263.04</v>
      </c>
      <c r="I590" s="342"/>
      <c r="J590" s="197">
        <f t="shared" si="28"/>
        <v>432263.04</v>
      </c>
      <c r="K590" s="181"/>
      <c r="L590" s="181"/>
    </row>
    <row r="591" spans="1:12" s="15" customFormat="1" ht="15" customHeight="1">
      <c r="A591" s="174"/>
      <c r="B591" s="175" t="s">
        <v>152</v>
      </c>
      <c r="C591" s="91"/>
      <c r="D591" s="124"/>
      <c r="E591" s="178"/>
      <c r="F591" s="178"/>
      <c r="G591" s="178">
        <f t="shared" si="31"/>
        <v>0</v>
      </c>
      <c r="H591" s="204"/>
      <c r="I591" s="390"/>
      <c r="J591" s="197">
        <f t="shared" si="28"/>
        <v>0</v>
      </c>
      <c r="K591" s="208"/>
      <c r="L591" s="256"/>
    </row>
    <row r="592" spans="1:12" s="15" customFormat="1" ht="66" customHeight="1">
      <c r="A592" s="174"/>
      <c r="B592" s="4" t="s">
        <v>239</v>
      </c>
      <c r="C592" s="91" t="s">
        <v>153</v>
      </c>
      <c r="D592" s="14" t="s">
        <v>179</v>
      </c>
      <c r="E592" s="178">
        <v>800</v>
      </c>
      <c r="F592" s="178"/>
      <c r="G592" s="178">
        <f t="shared" si="31"/>
        <v>800</v>
      </c>
      <c r="H592" s="204">
        <v>800</v>
      </c>
      <c r="I592" s="391"/>
      <c r="J592" s="197">
        <f t="shared" si="28"/>
        <v>800</v>
      </c>
      <c r="K592" s="208"/>
      <c r="L592" s="208"/>
    </row>
    <row r="593" spans="1:12" s="15" customFormat="1" ht="29.25" customHeight="1">
      <c r="A593" s="195"/>
      <c r="B593" s="4" t="s">
        <v>213</v>
      </c>
      <c r="C593" s="91" t="s">
        <v>215</v>
      </c>
      <c r="D593" s="14"/>
      <c r="E593" s="178">
        <v>12</v>
      </c>
      <c r="F593" s="178"/>
      <c r="G593" s="178">
        <f t="shared" si="31"/>
        <v>12</v>
      </c>
      <c r="H593" s="178">
        <v>12</v>
      </c>
      <c r="I593" s="389"/>
      <c r="J593" s="197">
        <f t="shared" si="28"/>
        <v>12</v>
      </c>
      <c r="K593" s="181"/>
      <c r="L593" s="182"/>
    </row>
    <row r="594" spans="1:12" s="15" customFormat="1" ht="15">
      <c r="A594" s="174"/>
      <c r="B594" s="175" t="s">
        <v>154</v>
      </c>
      <c r="C594" s="91"/>
      <c r="D594" s="109"/>
      <c r="E594" s="178"/>
      <c r="F594" s="178"/>
      <c r="G594" s="178">
        <f t="shared" si="31"/>
        <v>0</v>
      </c>
      <c r="H594" s="204"/>
      <c r="I594" s="390"/>
      <c r="J594" s="197">
        <f t="shared" si="28"/>
        <v>0</v>
      </c>
      <c r="K594" s="208"/>
      <c r="L594" s="256"/>
    </row>
    <row r="595" spans="1:12" s="15" customFormat="1" ht="28.5" customHeight="1">
      <c r="A595" s="73"/>
      <c r="B595" s="4" t="s">
        <v>222</v>
      </c>
      <c r="C595" s="91" t="s">
        <v>63</v>
      </c>
      <c r="D595" s="206" t="s">
        <v>109</v>
      </c>
      <c r="E595" s="178">
        <f>E590/E592/E593</f>
        <v>42.68</v>
      </c>
      <c r="F595" s="178"/>
      <c r="G595" s="178">
        <f t="shared" si="31"/>
        <v>42.68</v>
      </c>
      <c r="H595" s="204">
        <f>H590/H592/H593</f>
        <v>45.0274</v>
      </c>
      <c r="I595" s="391"/>
      <c r="J595" s="197">
        <f t="shared" si="28"/>
        <v>45.0274</v>
      </c>
      <c r="K595" s="208"/>
      <c r="L595" s="208"/>
    </row>
    <row r="596" spans="1:12" s="15" customFormat="1" ht="25.5" customHeight="1">
      <c r="A596" s="173"/>
      <c r="B596" s="180" t="s">
        <v>51</v>
      </c>
      <c r="C596" s="475" t="s">
        <v>240</v>
      </c>
      <c r="D596" s="475"/>
      <c r="E596" s="475"/>
      <c r="F596" s="475"/>
      <c r="G596" s="475"/>
      <c r="H596" s="475"/>
      <c r="I596" s="490"/>
      <c r="J596" s="197">
        <f t="shared" si="28"/>
        <v>0</v>
      </c>
      <c r="K596" s="183"/>
      <c r="L596" s="184"/>
    </row>
    <row r="597" spans="1:12" s="15" customFormat="1" ht="16.5" customHeight="1">
      <c r="A597" s="174"/>
      <c r="B597" s="175" t="s">
        <v>150</v>
      </c>
      <c r="C597" s="91"/>
      <c r="D597" s="176"/>
      <c r="E597" s="476"/>
      <c r="F597" s="476"/>
      <c r="G597" s="177"/>
      <c r="H597" s="480"/>
      <c r="I597" s="488"/>
      <c r="J597" s="197">
        <f t="shared" si="28"/>
        <v>0</v>
      </c>
      <c r="K597" s="489"/>
      <c r="L597" s="489"/>
    </row>
    <row r="598" spans="1:12" s="15" customFormat="1" ht="43.5" customHeight="1">
      <c r="A598" s="174"/>
      <c r="B598" s="4" t="s">
        <v>151</v>
      </c>
      <c r="C598" s="91" t="s">
        <v>63</v>
      </c>
      <c r="D598" s="2" t="s">
        <v>401</v>
      </c>
      <c r="E598" s="178">
        <f>K283*1.067</f>
        <v>219652.62</v>
      </c>
      <c r="F598" s="178"/>
      <c r="G598" s="178">
        <f aca="true" t="shared" si="32" ref="G598:G603">E598</f>
        <v>219652.62</v>
      </c>
      <c r="H598" s="178">
        <f>E598*1.055</f>
        <v>231733.51409999997</v>
      </c>
      <c r="I598" s="342"/>
      <c r="J598" s="197">
        <f t="shared" si="28"/>
        <v>231733.51409999997</v>
      </c>
      <c r="K598" s="181"/>
      <c r="L598" s="181"/>
    </row>
    <row r="599" spans="1:12" s="15" customFormat="1" ht="15" customHeight="1">
      <c r="A599" s="174"/>
      <c r="B599" s="175" t="s">
        <v>152</v>
      </c>
      <c r="C599" s="91"/>
      <c r="D599" s="124"/>
      <c r="E599" s="178"/>
      <c r="F599" s="178"/>
      <c r="G599" s="178">
        <f t="shared" si="32"/>
        <v>0</v>
      </c>
      <c r="H599" s="204"/>
      <c r="I599" s="390"/>
      <c r="J599" s="197">
        <f t="shared" si="28"/>
        <v>0</v>
      </c>
      <c r="K599" s="208"/>
      <c r="L599" s="256"/>
    </row>
    <row r="600" spans="1:12" s="15" customFormat="1" ht="74.25" customHeight="1">
      <c r="A600" s="174"/>
      <c r="B600" s="4" t="s">
        <v>241</v>
      </c>
      <c r="C600" s="91" t="s">
        <v>153</v>
      </c>
      <c r="D600" s="14" t="s">
        <v>179</v>
      </c>
      <c r="E600" s="178">
        <v>146</v>
      </c>
      <c r="F600" s="178"/>
      <c r="G600" s="178">
        <f t="shared" si="32"/>
        <v>146</v>
      </c>
      <c r="H600" s="204">
        <v>146</v>
      </c>
      <c r="I600" s="391"/>
      <c r="J600" s="197">
        <f t="shared" si="28"/>
        <v>146</v>
      </c>
      <c r="K600" s="208"/>
      <c r="L600" s="208"/>
    </row>
    <row r="601" spans="1:12" s="15" customFormat="1" ht="29.25" customHeight="1">
      <c r="A601" s="195"/>
      <c r="B601" s="4" t="s">
        <v>213</v>
      </c>
      <c r="C601" s="91" t="s">
        <v>215</v>
      </c>
      <c r="D601" s="14"/>
      <c r="E601" s="178">
        <v>12</v>
      </c>
      <c r="F601" s="178"/>
      <c r="G601" s="178">
        <f t="shared" si="32"/>
        <v>12</v>
      </c>
      <c r="H601" s="178">
        <v>12</v>
      </c>
      <c r="I601" s="389"/>
      <c r="J601" s="197">
        <f t="shared" si="28"/>
        <v>12</v>
      </c>
      <c r="K601" s="181"/>
      <c r="L601" s="182"/>
    </row>
    <row r="602" spans="1:12" s="15" customFormat="1" ht="15">
      <c r="A602" s="174"/>
      <c r="B602" s="175" t="s">
        <v>154</v>
      </c>
      <c r="C602" s="91"/>
      <c r="D602" s="109"/>
      <c r="E602" s="178"/>
      <c r="F602" s="178"/>
      <c r="G602" s="178">
        <f t="shared" si="32"/>
        <v>0</v>
      </c>
      <c r="H602" s="204"/>
      <c r="I602" s="390"/>
      <c r="J602" s="197">
        <f t="shared" si="28"/>
        <v>0</v>
      </c>
      <c r="K602" s="208"/>
      <c r="L602" s="256"/>
    </row>
    <row r="603" spans="1:12" s="15" customFormat="1" ht="28.5" customHeight="1">
      <c r="A603" s="73"/>
      <c r="B603" s="4" t="s">
        <v>242</v>
      </c>
      <c r="C603" s="91" t="s">
        <v>63</v>
      </c>
      <c r="D603" s="206" t="s">
        <v>109</v>
      </c>
      <c r="E603" s="178">
        <f>E598/E600/E601</f>
        <v>125.3725</v>
      </c>
      <c r="F603" s="178"/>
      <c r="G603" s="178">
        <f t="shared" si="32"/>
        <v>125.3725</v>
      </c>
      <c r="H603" s="204">
        <f>H598/H600/H601</f>
        <v>132.26798749999998</v>
      </c>
      <c r="I603" s="391"/>
      <c r="J603" s="197">
        <f aca="true" t="shared" si="33" ref="J603:J650">H603</f>
        <v>132.26798749999998</v>
      </c>
      <c r="K603" s="208"/>
      <c r="L603" s="208"/>
    </row>
    <row r="604" spans="1:12" s="15" customFormat="1" ht="25.5" customHeight="1">
      <c r="A604" s="173"/>
      <c r="B604" s="180"/>
      <c r="C604" s="475" t="s">
        <v>243</v>
      </c>
      <c r="D604" s="475"/>
      <c r="E604" s="475"/>
      <c r="F604" s="475"/>
      <c r="G604" s="475"/>
      <c r="H604" s="475"/>
      <c r="I604" s="490"/>
      <c r="J604" s="197">
        <f t="shared" si="33"/>
        <v>0</v>
      </c>
      <c r="K604" s="183"/>
      <c r="L604" s="184"/>
    </row>
    <row r="605" spans="1:12" s="15" customFormat="1" ht="25.5" customHeight="1">
      <c r="A605" s="173"/>
      <c r="B605" s="180" t="s">
        <v>51</v>
      </c>
      <c r="C605" s="475" t="s">
        <v>244</v>
      </c>
      <c r="D605" s="475"/>
      <c r="E605" s="475"/>
      <c r="F605" s="475"/>
      <c r="G605" s="475"/>
      <c r="H605" s="475"/>
      <c r="I605" s="490"/>
      <c r="J605" s="197">
        <f t="shared" si="33"/>
        <v>0</v>
      </c>
      <c r="K605" s="183"/>
      <c r="L605" s="183"/>
    </row>
    <row r="606" spans="1:12" s="15" customFormat="1" ht="16.5" customHeight="1">
      <c r="A606" s="174"/>
      <c r="B606" s="175" t="s">
        <v>150</v>
      </c>
      <c r="C606" s="91"/>
      <c r="D606" s="176"/>
      <c r="E606" s="476"/>
      <c r="F606" s="476"/>
      <c r="G606" s="177"/>
      <c r="H606" s="480"/>
      <c r="I606" s="488"/>
      <c r="J606" s="197">
        <f t="shared" si="33"/>
        <v>0</v>
      </c>
      <c r="K606" s="489"/>
      <c r="L606" s="489"/>
    </row>
    <row r="607" spans="1:12" s="15" customFormat="1" ht="43.5" customHeight="1">
      <c r="A607" s="174"/>
      <c r="B607" s="4" t="s">
        <v>151</v>
      </c>
      <c r="C607" s="91" t="s">
        <v>63</v>
      </c>
      <c r="D607" s="2" t="s">
        <v>401</v>
      </c>
      <c r="E607" s="178">
        <f>K292*1.067</f>
        <v>51216</v>
      </c>
      <c r="F607" s="178"/>
      <c r="G607" s="178">
        <f>E607</f>
        <v>51216</v>
      </c>
      <c r="H607" s="178">
        <f>E607*1.055</f>
        <v>54032.88</v>
      </c>
      <c r="I607" s="342"/>
      <c r="J607" s="197">
        <f t="shared" si="33"/>
        <v>54032.88</v>
      </c>
      <c r="K607" s="181"/>
      <c r="L607" s="181"/>
    </row>
    <row r="608" spans="1:12" s="15" customFormat="1" ht="15" customHeight="1">
      <c r="A608" s="174"/>
      <c r="B608" s="175" t="s">
        <v>152</v>
      </c>
      <c r="C608" s="91"/>
      <c r="D608" s="124"/>
      <c r="E608" s="178"/>
      <c r="F608" s="178"/>
      <c r="G608" s="178">
        <f>E608</f>
        <v>0</v>
      </c>
      <c r="H608" s="204"/>
      <c r="I608" s="390"/>
      <c r="J608" s="197">
        <f t="shared" si="33"/>
        <v>0</v>
      </c>
      <c r="K608" s="208"/>
      <c r="L608" s="256"/>
    </row>
    <row r="609" spans="1:12" s="15" customFormat="1" ht="74.25" customHeight="1">
      <c r="A609" s="174"/>
      <c r="B609" s="4" t="s">
        <v>245</v>
      </c>
      <c r="C609" s="91" t="s">
        <v>153</v>
      </c>
      <c r="D609" s="14" t="s">
        <v>179</v>
      </c>
      <c r="E609" s="178">
        <v>510</v>
      </c>
      <c r="F609" s="178"/>
      <c r="G609" s="178">
        <f>E609</f>
        <v>510</v>
      </c>
      <c r="H609" s="204">
        <v>540</v>
      </c>
      <c r="I609" s="391"/>
      <c r="J609" s="197">
        <f t="shared" si="33"/>
        <v>540</v>
      </c>
      <c r="K609" s="208"/>
      <c r="L609" s="208"/>
    </row>
    <row r="610" spans="1:12" s="15" customFormat="1" ht="15">
      <c r="A610" s="174"/>
      <c r="B610" s="175" t="s">
        <v>154</v>
      </c>
      <c r="C610" s="91"/>
      <c r="D610" s="109"/>
      <c r="E610" s="178"/>
      <c r="F610" s="178"/>
      <c r="G610" s="178">
        <f>E610</f>
        <v>0</v>
      </c>
      <c r="H610" s="204"/>
      <c r="I610" s="390"/>
      <c r="J610" s="197">
        <f t="shared" si="33"/>
        <v>0</v>
      </c>
      <c r="K610" s="208"/>
      <c r="L610" s="256"/>
    </row>
    <row r="611" spans="1:12" s="15" customFormat="1" ht="28.5" customHeight="1">
      <c r="A611" s="73"/>
      <c r="B611" s="4" t="s">
        <v>246</v>
      </c>
      <c r="C611" s="91" t="s">
        <v>63</v>
      </c>
      <c r="D611" s="206" t="s">
        <v>109</v>
      </c>
      <c r="E611" s="178">
        <f>E607/E609</f>
        <v>100.4235294117647</v>
      </c>
      <c r="F611" s="178"/>
      <c r="G611" s="178">
        <f>E611</f>
        <v>100.4235294117647</v>
      </c>
      <c r="H611" s="204">
        <f>H607/H609</f>
        <v>100.06088888888888</v>
      </c>
      <c r="I611" s="391"/>
      <c r="J611" s="197">
        <f t="shared" si="33"/>
        <v>100.06088888888888</v>
      </c>
      <c r="K611" s="208"/>
      <c r="L611" s="208"/>
    </row>
    <row r="612" spans="1:12" s="15" customFormat="1" ht="25.5" customHeight="1">
      <c r="A612" s="173"/>
      <c r="B612" s="180" t="s">
        <v>51</v>
      </c>
      <c r="C612" s="475" t="s">
        <v>300</v>
      </c>
      <c r="D612" s="475"/>
      <c r="E612" s="475"/>
      <c r="F612" s="475"/>
      <c r="G612" s="475"/>
      <c r="H612" s="475"/>
      <c r="I612" s="490"/>
      <c r="J612" s="197">
        <f t="shared" si="33"/>
        <v>0</v>
      </c>
      <c r="K612" s="183"/>
      <c r="L612" s="183"/>
    </row>
    <row r="613" spans="1:12" s="15" customFormat="1" ht="16.5" customHeight="1">
      <c r="A613" s="174"/>
      <c r="B613" s="175" t="s">
        <v>150</v>
      </c>
      <c r="C613" s="91"/>
      <c r="D613" s="176"/>
      <c r="E613" s="476"/>
      <c r="F613" s="476"/>
      <c r="G613" s="177"/>
      <c r="H613" s="480"/>
      <c r="I613" s="488"/>
      <c r="J613" s="197">
        <f t="shared" si="33"/>
        <v>0</v>
      </c>
      <c r="K613" s="489"/>
      <c r="L613" s="489"/>
    </row>
    <row r="614" spans="1:12" s="15" customFormat="1" ht="43.5" customHeight="1">
      <c r="A614" s="174"/>
      <c r="B614" s="4" t="s">
        <v>151</v>
      </c>
      <c r="C614" s="91" t="s">
        <v>63</v>
      </c>
      <c r="D614" s="2" t="s">
        <v>401</v>
      </c>
      <c r="E614" s="178">
        <f>K307*1.067</f>
        <v>1705066</v>
      </c>
      <c r="F614" s="178"/>
      <c r="G614" s="178">
        <f aca="true" t="shared" si="34" ref="G614:G619">E614</f>
        <v>1705066</v>
      </c>
      <c r="H614" s="178">
        <f>E614*1.055</f>
        <v>1798844.63</v>
      </c>
      <c r="I614" s="342"/>
      <c r="J614" s="197">
        <f t="shared" si="33"/>
        <v>1798844.63</v>
      </c>
      <c r="K614" s="181"/>
      <c r="L614" s="181"/>
    </row>
    <row r="615" spans="1:12" s="15" customFormat="1" ht="15" customHeight="1">
      <c r="A615" s="174"/>
      <c r="B615" s="175" t="s">
        <v>152</v>
      </c>
      <c r="C615" s="91"/>
      <c r="D615" s="124"/>
      <c r="E615" s="178"/>
      <c r="F615" s="178"/>
      <c r="G615" s="178">
        <f t="shared" si="34"/>
        <v>0</v>
      </c>
      <c r="H615" s="204"/>
      <c r="I615" s="390"/>
      <c r="J615" s="197">
        <f t="shared" si="33"/>
        <v>0</v>
      </c>
      <c r="K615" s="208"/>
      <c r="L615" s="256"/>
    </row>
    <row r="616" spans="1:12" s="15" customFormat="1" ht="75.75" customHeight="1">
      <c r="A616" s="174"/>
      <c r="B616" s="4" t="s">
        <v>301</v>
      </c>
      <c r="C616" s="91" t="s">
        <v>153</v>
      </c>
      <c r="D616" s="14" t="s">
        <v>179</v>
      </c>
      <c r="E616" s="178">
        <v>8</v>
      </c>
      <c r="F616" s="178"/>
      <c r="G616" s="178">
        <f t="shared" si="34"/>
        <v>8</v>
      </c>
      <c r="H616" s="204">
        <v>8</v>
      </c>
      <c r="I616" s="391"/>
      <c r="J616" s="197">
        <f t="shared" si="33"/>
        <v>8</v>
      </c>
      <c r="K616" s="208"/>
      <c r="L616" s="208"/>
    </row>
    <row r="617" spans="1:12" s="15" customFormat="1" ht="29.25" customHeight="1" hidden="1">
      <c r="A617" s="195"/>
      <c r="B617" s="4" t="s">
        <v>250</v>
      </c>
      <c r="C617" s="91" t="s">
        <v>215</v>
      </c>
      <c r="D617" s="14"/>
      <c r="E617" s="178"/>
      <c r="F617" s="178"/>
      <c r="G617" s="178">
        <f t="shared" si="34"/>
        <v>0</v>
      </c>
      <c r="H617" s="178"/>
      <c r="I617" s="389"/>
      <c r="J617" s="197">
        <f t="shared" si="33"/>
        <v>0</v>
      </c>
      <c r="K617" s="181"/>
      <c r="L617" s="182"/>
    </row>
    <row r="618" spans="1:12" s="15" customFormat="1" ht="15">
      <c r="A618" s="174"/>
      <c r="B618" s="175" t="s">
        <v>154</v>
      </c>
      <c r="C618" s="91"/>
      <c r="D618" s="109"/>
      <c r="E618" s="178"/>
      <c r="F618" s="178"/>
      <c r="G618" s="178">
        <f t="shared" si="34"/>
        <v>0</v>
      </c>
      <c r="H618" s="204"/>
      <c r="I618" s="390"/>
      <c r="J618" s="197">
        <f t="shared" si="33"/>
        <v>0</v>
      </c>
      <c r="K618" s="208"/>
      <c r="L618" s="256"/>
    </row>
    <row r="619" spans="1:12" s="15" customFormat="1" ht="28.5" customHeight="1">
      <c r="A619" s="73"/>
      <c r="B619" s="4" t="s">
        <v>303</v>
      </c>
      <c r="C619" s="91" t="s">
        <v>63</v>
      </c>
      <c r="D619" s="206" t="s">
        <v>109</v>
      </c>
      <c r="E619" s="178">
        <f>E614/E616</f>
        <v>213133.25</v>
      </c>
      <c r="F619" s="178"/>
      <c r="G619" s="178">
        <f t="shared" si="34"/>
        <v>213133.25</v>
      </c>
      <c r="H619" s="204">
        <f>H614/H616</f>
        <v>224855.57875</v>
      </c>
      <c r="I619" s="391"/>
      <c r="J619" s="197">
        <f t="shared" si="33"/>
        <v>224855.57875</v>
      </c>
      <c r="K619" s="208"/>
      <c r="L619" s="208"/>
    </row>
    <row r="620" spans="1:12" s="15" customFormat="1" ht="25.5" customHeight="1">
      <c r="A620" s="173"/>
      <c r="B620" s="180" t="s">
        <v>51</v>
      </c>
      <c r="C620" s="475" t="s">
        <v>302</v>
      </c>
      <c r="D620" s="475"/>
      <c r="E620" s="475"/>
      <c r="F620" s="475"/>
      <c r="G620" s="475"/>
      <c r="H620" s="475"/>
      <c r="I620" s="490"/>
      <c r="J620" s="197">
        <f t="shared" si="33"/>
        <v>0</v>
      </c>
      <c r="K620" s="183"/>
      <c r="L620" s="183"/>
    </row>
    <row r="621" spans="1:12" s="15" customFormat="1" ht="16.5" customHeight="1">
      <c r="A621" s="174"/>
      <c r="B621" s="175" t="s">
        <v>150</v>
      </c>
      <c r="C621" s="91"/>
      <c r="D621" s="176"/>
      <c r="E621" s="476"/>
      <c r="F621" s="476"/>
      <c r="G621" s="177"/>
      <c r="H621" s="480"/>
      <c r="I621" s="488"/>
      <c r="J621" s="197">
        <f t="shared" si="33"/>
        <v>0</v>
      </c>
      <c r="K621" s="489"/>
      <c r="L621" s="489"/>
    </row>
    <row r="622" spans="1:12" s="15" customFormat="1" ht="43.5" customHeight="1">
      <c r="A622" s="174"/>
      <c r="B622" s="4" t="s">
        <v>151</v>
      </c>
      <c r="C622" s="91" t="s">
        <v>63</v>
      </c>
      <c r="D622" s="2" t="s">
        <v>401</v>
      </c>
      <c r="E622" s="178">
        <f>K315*1.067</f>
        <v>60819</v>
      </c>
      <c r="F622" s="178"/>
      <c r="G622" s="178">
        <f aca="true" t="shared" si="35" ref="G622:G627">E622</f>
        <v>60819</v>
      </c>
      <c r="H622" s="178">
        <f>E622*1.055</f>
        <v>64164.045</v>
      </c>
      <c r="I622" s="342"/>
      <c r="J622" s="197">
        <f t="shared" si="33"/>
        <v>64164.045</v>
      </c>
      <c r="K622" s="181"/>
      <c r="L622" s="181"/>
    </row>
    <row r="623" spans="1:12" s="15" customFormat="1" ht="15" customHeight="1">
      <c r="A623" s="174"/>
      <c r="B623" s="175" t="s">
        <v>152</v>
      </c>
      <c r="C623" s="91"/>
      <c r="D623" s="124"/>
      <c r="E623" s="178"/>
      <c r="F623" s="178"/>
      <c r="G623" s="178">
        <f t="shared" si="35"/>
        <v>0</v>
      </c>
      <c r="H623" s="204"/>
      <c r="I623" s="390"/>
      <c r="J623" s="197">
        <f t="shared" si="33"/>
        <v>0</v>
      </c>
      <c r="K623" s="208"/>
      <c r="L623" s="256"/>
    </row>
    <row r="624" spans="1:12" s="15" customFormat="1" ht="75" customHeight="1">
      <c r="A624" s="174"/>
      <c r="B624" s="4" t="s">
        <v>304</v>
      </c>
      <c r="C624" s="91" t="s">
        <v>153</v>
      </c>
      <c r="D624" s="14" t="s">
        <v>179</v>
      </c>
      <c r="E624" s="178">
        <v>3</v>
      </c>
      <c r="F624" s="178"/>
      <c r="G624" s="178">
        <f t="shared" si="35"/>
        <v>3</v>
      </c>
      <c r="H624" s="204">
        <v>3</v>
      </c>
      <c r="I624" s="391"/>
      <c r="J624" s="197">
        <f t="shared" si="33"/>
        <v>3</v>
      </c>
      <c r="K624" s="208"/>
      <c r="L624" s="208"/>
    </row>
    <row r="625" spans="1:12" s="15" customFormat="1" ht="29.25" customHeight="1" hidden="1">
      <c r="A625" s="195"/>
      <c r="B625" s="4" t="s">
        <v>250</v>
      </c>
      <c r="C625" s="91" t="s">
        <v>215</v>
      </c>
      <c r="D625" s="14"/>
      <c r="E625" s="178"/>
      <c r="F625" s="178"/>
      <c r="G625" s="178">
        <f t="shared" si="35"/>
        <v>0</v>
      </c>
      <c r="H625" s="178"/>
      <c r="I625" s="389"/>
      <c r="J625" s="197">
        <f t="shared" si="33"/>
        <v>0</v>
      </c>
      <c r="K625" s="181"/>
      <c r="L625" s="182"/>
    </row>
    <row r="626" spans="1:12" s="15" customFormat="1" ht="15">
      <c r="A626" s="174"/>
      <c r="B626" s="175" t="s">
        <v>154</v>
      </c>
      <c r="C626" s="91"/>
      <c r="D626" s="109"/>
      <c r="E626" s="178"/>
      <c r="F626" s="178"/>
      <c r="G626" s="178">
        <f t="shared" si="35"/>
        <v>0</v>
      </c>
      <c r="H626" s="204"/>
      <c r="I626" s="390"/>
      <c r="J626" s="197">
        <f t="shared" si="33"/>
        <v>0</v>
      </c>
      <c r="K626" s="208"/>
      <c r="L626" s="256"/>
    </row>
    <row r="627" spans="1:12" s="15" customFormat="1" ht="28.5" customHeight="1">
      <c r="A627" s="73"/>
      <c r="B627" s="4" t="s">
        <v>251</v>
      </c>
      <c r="C627" s="91" t="s">
        <v>63</v>
      </c>
      <c r="D627" s="206" t="s">
        <v>109</v>
      </c>
      <c r="E627" s="178">
        <f>E622/E624</f>
        <v>20273</v>
      </c>
      <c r="F627" s="178"/>
      <c r="G627" s="178">
        <f t="shared" si="35"/>
        <v>20273</v>
      </c>
      <c r="H627" s="204">
        <f>H622/H624</f>
        <v>21388.015</v>
      </c>
      <c r="I627" s="391"/>
      <c r="J627" s="197">
        <f t="shared" si="33"/>
        <v>21388.015</v>
      </c>
      <c r="K627" s="208"/>
      <c r="L627" s="208"/>
    </row>
    <row r="628" spans="1:12" s="15" customFormat="1" ht="25.5" customHeight="1">
      <c r="A628" s="173"/>
      <c r="B628" s="180" t="s">
        <v>51</v>
      </c>
      <c r="C628" s="475" t="s">
        <v>305</v>
      </c>
      <c r="D628" s="475"/>
      <c r="E628" s="475"/>
      <c r="F628" s="475"/>
      <c r="G628" s="475"/>
      <c r="H628" s="475"/>
      <c r="I628" s="490"/>
      <c r="J628" s="197">
        <f t="shared" si="33"/>
        <v>0</v>
      </c>
      <c r="K628" s="183"/>
      <c r="L628" s="183"/>
    </row>
    <row r="629" spans="1:12" s="15" customFormat="1" ht="16.5" customHeight="1">
      <c r="A629" s="174"/>
      <c r="B629" s="175" t="s">
        <v>150</v>
      </c>
      <c r="C629" s="91"/>
      <c r="D629" s="176"/>
      <c r="E629" s="476"/>
      <c r="F629" s="476"/>
      <c r="G629" s="177"/>
      <c r="H629" s="480"/>
      <c r="I629" s="488"/>
      <c r="J629" s="197">
        <f t="shared" si="33"/>
        <v>0</v>
      </c>
      <c r="K629" s="489"/>
      <c r="L629" s="489"/>
    </row>
    <row r="630" spans="1:12" s="15" customFormat="1" ht="43.5" customHeight="1">
      <c r="A630" s="174"/>
      <c r="B630" s="4" t="s">
        <v>151</v>
      </c>
      <c r="C630" s="91" t="s">
        <v>63</v>
      </c>
      <c r="D630" s="2" t="s">
        <v>401</v>
      </c>
      <c r="E630" s="178">
        <f>K323*1.067</f>
        <v>2853158</v>
      </c>
      <c r="F630" s="178"/>
      <c r="G630" s="178">
        <f>E630</f>
        <v>2853158</v>
      </c>
      <c r="H630" s="178">
        <f>E630*1.055</f>
        <v>3010081.69</v>
      </c>
      <c r="I630" s="342"/>
      <c r="J630" s="197">
        <f t="shared" si="33"/>
        <v>3010081.69</v>
      </c>
      <c r="K630" s="181"/>
      <c r="L630" s="181"/>
    </row>
    <row r="631" spans="1:12" s="15" customFormat="1" ht="15" customHeight="1">
      <c r="A631" s="174"/>
      <c r="B631" s="175" t="s">
        <v>152</v>
      </c>
      <c r="C631" s="91"/>
      <c r="D631" s="124"/>
      <c r="E631" s="178"/>
      <c r="F631" s="178"/>
      <c r="G631" s="178">
        <f>E631</f>
        <v>0</v>
      </c>
      <c r="H631" s="204"/>
      <c r="I631" s="390"/>
      <c r="J631" s="197">
        <f t="shared" si="33"/>
        <v>0</v>
      </c>
      <c r="K631" s="208"/>
      <c r="L631" s="256"/>
    </row>
    <row r="632" spans="1:12" s="15" customFormat="1" ht="76.5" customHeight="1">
      <c r="A632" s="174"/>
      <c r="B632" s="4" t="s">
        <v>399</v>
      </c>
      <c r="C632" s="91" t="s">
        <v>153</v>
      </c>
      <c r="D632" s="14" t="s">
        <v>179</v>
      </c>
      <c r="E632" s="178">
        <v>6</v>
      </c>
      <c r="F632" s="178"/>
      <c r="G632" s="178">
        <f>E632</f>
        <v>6</v>
      </c>
      <c r="H632" s="204">
        <v>6</v>
      </c>
      <c r="I632" s="391"/>
      <c r="J632" s="197">
        <f t="shared" si="33"/>
        <v>6</v>
      </c>
      <c r="K632" s="208"/>
      <c r="L632" s="208"/>
    </row>
    <row r="633" spans="1:12" s="15" customFormat="1" ht="15">
      <c r="A633" s="174"/>
      <c r="B633" s="175" t="s">
        <v>154</v>
      </c>
      <c r="C633" s="91"/>
      <c r="D633" s="109"/>
      <c r="E633" s="178"/>
      <c r="F633" s="178"/>
      <c r="G633" s="178">
        <f>E633</f>
        <v>0</v>
      </c>
      <c r="H633" s="204"/>
      <c r="I633" s="390"/>
      <c r="J633" s="197">
        <f t="shared" si="33"/>
        <v>0</v>
      </c>
      <c r="K633" s="208"/>
      <c r="L633" s="256"/>
    </row>
    <row r="634" spans="1:12" s="15" customFormat="1" ht="42" customHeight="1">
      <c r="A634" s="73"/>
      <c r="B634" s="4" t="s">
        <v>400</v>
      </c>
      <c r="C634" s="91" t="s">
        <v>63</v>
      </c>
      <c r="D634" s="206" t="s">
        <v>109</v>
      </c>
      <c r="E634" s="178">
        <f>56000*1.075</f>
        <v>60200</v>
      </c>
      <c r="F634" s="178"/>
      <c r="G634" s="178">
        <f>E634</f>
        <v>60200</v>
      </c>
      <c r="H634" s="204">
        <f>E634*1.058</f>
        <v>63691.600000000006</v>
      </c>
      <c r="I634" s="391"/>
      <c r="J634" s="197">
        <f t="shared" si="33"/>
        <v>63691.600000000006</v>
      </c>
      <c r="K634" s="208"/>
      <c r="L634" s="208"/>
    </row>
    <row r="635" spans="1:12" s="15" customFormat="1" ht="25.5" customHeight="1">
      <c r="A635" s="173"/>
      <c r="B635" s="4"/>
      <c r="C635" s="475" t="s">
        <v>252</v>
      </c>
      <c r="D635" s="475"/>
      <c r="E635" s="475"/>
      <c r="F635" s="475"/>
      <c r="G635" s="475"/>
      <c r="H635" s="475"/>
      <c r="I635" s="490"/>
      <c r="J635" s="197">
        <f t="shared" si="33"/>
        <v>0</v>
      </c>
      <c r="K635" s="183"/>
      <c r="L635" s="183"/>
    </row>
    <row r="636" spans="1:12" s="15" customFormat="1" ht="25.5" customHeight="1">
      <c r="A636" s="173"/>
      <c r="B636" s="180" t="s">
        <v>51</v>
      </c>
      <c r="C636" s="475"/>
      <c r="D636" s="475"/>
      <c r="E636" s="475"/>
      <c r="F636" s="475"/>
      <c r="G636" s="475"/>
      <c r="H636" s="475"/>
      <c r="I636" s="490"/>
      <c r="J636" s="197">
        <f t="shared" si="33"/>
        <v>0</v>
      </c>
      <c r="K636" s="183"/>
      <c r="L636" s="183"/>
    </row>
    <row r="637" spans="1:12" s="15" customFormat="1" ht="16.5" customHeight="1">
      <c r="A637" s="174"/>
      <c r="B637" s="175" t="s">
        <v>150</v>
      </c>
      <c r="C637" s="91"/>
      <c r="D637" s="176"/>
      <c r="E637" s="476"/>
      <c r="F637" s="476"/>
      <c r="G637" s="177"/>
      <c r="H637" s="480"/>
      <c r="I637" s="488"/>
      <c r="J637" s="197">
        <f t="shared" si="33"/>
        <v>0</v>
      </c>
      <c r="K637" s="489"/>
      <c r="L637" s="489"/>
    </row>
    <row r="638" spans="1:12" s="15" customFormat="1" ht="43.5" customHeight="1">
      <c r="A638" s="174"/>
      <c r="B638" s="4" t="s">
        <v>151</v>
      </c>
      <c r="C638" s="91" t="s">
        <v>63</v>
      </c>
      <c r="D638" s="2" t="s">
        <v>401</v>
      </c>
      <c r="E638" s="178">
        <f>K340*1.067</f>
        <v>160050</v>
      </c>
      <c r="F638" s="178">
        <f>L340*1.067</f>
        <v>0</v>
      </c>
      <c r="G638" s="178">
        <f>E638+F638</f>
        <v>160050</v>
      </c>
      <c r="H638" s="178">
        <f>E638*1.055</f>
        <v>168852.75</v>
      </c>
      <c r="I638" s="342">
        <f>F638*1.055</f>
        <v>0</v>
      </c>
      <c r="J638" s="197">
        <f t="shared" si="33"/>
        <v>168852.75</v>
      </c>
      <c r="K638" s="181"/>
      <c r="L638" s="181"/>
    </row>
    <row r="639" spans="1:12" s="15" customFormat="1" ht="15" customHeight="1">
      <c r="A639" s="174"/>
      <c r="B639" s="175" t="s">
        <v>152</v>
      </c>
      <c r="C639" s="91"/>
      <c r="D639" s="124"/>
      <c r="E639" s="178"/>
      <c r="F639" s="178"/>
      <c r="G639" s="178">
        <f>E639+F639</f>
        <v>0</v>
      </c>
      <c r="H639" s="204"/>
      <c r="I639" s="390"/>
      <c r="J639" s="197">
        <f t="shared" si="33"/>
        <v>0</v>
      </c>
      <c r="K639" s="208"/>
      <c r="L639" s="256"/>
    </row>
    <row r="640" spans="1:12" s="15" customFormat="1" ht="66" customHeight="1">
      <c r="A640" s="174"/>
      <c r="B640" s="4" t="s">
        <v>253</v>
      </c>
      <c r="C640" s="91" t="s">
        <v>153</v>
      </c>
      <c r="D640" s="14" t="s">
        <v>179</v>
      </c>
      <c r="E640" s="178">
        <v>3</v>
      </c>
      <c r="F640" s="178">
        <v>1</v>
      </c>
      <c r="G640" s="178">
        <f>E640+F640</f>
        <v>4</v>
      </c>
      <c r="H640" s="204">
        <v>3</v>
      </c>
      <c r="I640" s="391">
        <v>1</v>
      </c>
      <c r="J640" s="197">
        <f t="shared" si="33"/>
        <v>3</v>
      </c>
      <c r="K640" s="208"/>
      <c r="L640" s="208"/>
    </row>
    <row r="641" spans="1:12" s="15" customFormat="1" ht="15">
      <c r="A641" s="174"/>
      <c r="B641" s="175" t="s">
        <v>154</v>
      </c>
      <c r="C641" s="91"/>
      <c r="D641" s="109"/>
      <c r="E641" s="178"/>
      <c r="F641" s="178"/>
      <c r="G641" s="178"/>
      <c r="H641" s="204"/>
      <c r="I641" s="390"/>
      <c r="J641" s="197">
        <f t="shared" si="33"/>
        <v>0</v>
      </c>
      <c r="K641" s="208"/>
      <c r="L641" s="256"/>
    </row>
    <row r="642" spans="1:12" s="15" customFormat="1" ht="28.5" customHeight="1">
      <c r="A642" s="73"/>
      <c r="B642" s="4" t="s">
        <v>254</v>
      </c>
      <c r="C642" s="91" t="s">
        <v>63</v>
      </c>
      <c r="D642" s="206" t="s">
        <v>109</v>
      </c>
      <c r="E642" s="178">
        <f>E638/E640</f>
        <v>53350</v>
      </c>
      <c r="F642" s="178">
        <f>F638/F640</f>
        <v>0</v>
      </c>
      <c r="G642" s="178">
        <f>G638/G640</f>
        <v>40012.5</v>
      </c>
      <c r="H642" s="178">
        <f>H638/H640</f>
        <v>56284.25</v>
      </c>
      <c r="I642" s="342">
        <f>I638/I640</f>
        <v>0</v>
      </c>
      <c r="J642" s="197">
        <f t="shared" si="33"/>
        <v>56284.25</v>
      </c>
      <c r="K642" s="208"/>
      <c r="L642" s="208"/>
    </row>
    <row r="643" spans="1:12" s="15" customFormat="1" ht="25.5" customHeight="1">
      <c r="A643" s="173"/>
      <c r="B643" s="4"/>
      <c r="C643" s="475" t="s">
        <v>458</v>
      </c>
      <c r="D643" s="475"/>
      <c r="E643" s="475"/>
      <c r="F643" s="475"/>
      <c r="G643" s="475"/>
      <c r="H643" s="475"/>
      <c r="I643" s="490"/>
      <c r="J643" s="197"/>
      <c r="K643" s="183"/>
      <c r="L643" s="183"/>
    </row>
    <row r="644" spans="1:12" s="15" customFormat="1" ht="25.5" customHeight="1">
      <c r="A644" s="173"/>
      <c r="B644" s="180" t="s">
        <v>51</v>
      </c>
      <c r="C644" s="475" t="s">
        <v>357</v>
      </c>
      <c r="D644" s="475"/>
      <c r="E644" s="475"/>
      <c r="F644" s="475"/>
      <c r="G644" s="475"/>
      <c r="H644" s="475"/>
      <c r="I644" s="490"/>
      <c r="J644" s="197"/>
      <c r="K644" s="183"/>
      <c r="L644" s="183"/>
    </row>
    <row r="645" spans="1:12" s="15" customFormat="1" ht="16.5" customHeight="1">
      <c r="A645" s="174"/>
      <c r="B645" s="175" t="s">
        <v>150</v>
      </c>
      <c r="C645" s="91"/>
      <c r="D645" s="176"/>
      <c r="E645" s="476"/>
      <c r="F645" s="476"/>
      <c r="G645" s="177"/>
      <c r="H645" s="480"/>
      <c r="I645" s="488"/>
      <c r="J645" s="197"/>
      <c r="K645" s="489"/>
      <c r="L645" s="489"/>
    </row>
    <row r="646" spans="1:12" s="15" customFormat="1" ht="43.5" customHeight="1">
      <c r="A646" s="174"/>
      <c r="B646" s="4" t="s">
        <v>151</v>
      </c>
      <c r="C646" s="91" t="s">
        <v>63</v>
      </c>
      <c r="D646" s="2" t="s">
        <v>401</v>
      </c>
      <c r="E646" s="178">
        <f>K348*1.067</f>
        <v>277420</v>
      </c>
      <c r="F646" s="178">
        <f>L348*1.067</f>
        <v>0</v>
      </c>
      <c r="G646" s="178">
        <f>E646</f>
        <v>277420</v>
      </c>
      <c r="H646" s="178">
        <f>E646*1.055</f>
        <v>292678.1</v>
      </c>
      <c r="I646" s="342">
        <f>F646*1.055</f>
        <v>0</v>
      </c>
      <c r="J646" s="197">
        <f t="shared" si="33"/>
        <v>292678.1</v>
      </c>
      <c r="K646" s="181"/>
      <c r="L646" s="181"/>
    </row>
    <row r="647" spans="1:12" s="15" customFormat="1" ht="15" customHeight="1">
      <c r="A647" s="174"/>
      <c r="B647" s="175" t="s">
        <v>152</v>
      </c>
      <c r="C647" s="91"/>
      <c r="D647" s="124"/>
      <c r="E647" s="178"/>
      <c r="F647" s="178"/>
      <c r="G647" s="178">
        <f>E647</f>
        <v>0</v>
      </c>
      <c r="H647" s="204"/>
      <c r="I647" s="390"/>
      <c r="J647" s="197">
        <f t="shared" si="33"/>
        <v>0</v>
      </c>
      <c r="K647" s="208"/>
      <c r="L647" s="256"/>
    </row>
    <row r="648" spans="1:12" s="15" customFormat="1" ht="66" customHeight="1">
      <c r="A648" s="174"/>
      <c r="B648" s="4" t="s">
        <v>459</v>
      </c>
      <c r="C648" s="91" t="s">
        <v>153</v>
      </c>
      <c r="D648" s="14" t="s">
        <v>179</v>
      </c>
      <c r="E648" s="178">
        <v>3</v>
      </c>
      <c r="F648" s="178">
        <v>1</v>
      </c>
      <c r="G648" s="178">
        <f>E648</f>
        <v>3</v>
      </c>
      <c r="H648" s="204">
        <v>3</v>
      </c>
      <c r="I648" s="391">
        <v>1</v>
      </c>
      <c r="J648" s="197">
        <f t="shared" si="33"/>
        <v>3</v>
      </c>
      <c r="K648" s="208"/>
      <c r="L648" s="208"/>
    </row>
    <row r="649" spans="1:12" s="15" customFormat="1" ht="15">
      <c r="A649" s="174"/>
      <c r="B649" s="175" t="s">
        <v>154</v>
      </c>
      <c r="C649" s="91"/>
      <c r="D649" s="109"/>
      <c r="E649" s="178"/>
      <c r="F649" s="178"/>
      <c r="G649" s="178">
        <f>E649</f>
        <v>0</v>
      </c>
      <c r="H649" s="204"/>
      <c r="I649" s="390"/>
      <c r="J649" s="197">
        <f t="shared" si="33"/>
        <v>0</v>
      </c>
      <c r="K649" s="208"/>
      <c r="L649" s="256"/>
    </row>
    <row r="650" spans="1:12" s="15" customFormat="1" ht="28.5" customHeight="1">
      <c r="A650" s="73"/>
      <c r="B650" s="4" t="s">
        <v>460</v>
      </c>
      <c r="C650" s="91" t="s">
        <v>63</v>
      </c>
      <c r="D650" s="206" t="s">
        <v>109</v>
      </c>
      <c r="E650" s="178">
        <f>E646/E648</f>
        <v>92473.33333333333</v>
      </c>
      <c r="F650" s="178">
        <f>F646/F648</f>
        <v>0</v>
      </c>
      <c r="G650" s="178">
        <f>E650</f>
        <v>92473.33333333333</v>
      </c>
      <c r="H650" s="178">
        <f>H646/H648</f>
        <v>97559.36666666665</v>
      </c>
      <c r="I650" s="342">
        <f>I646/I648</f>
        <v>0</v>
      </c>
      <c r="J650" s="197">
        <f t="shared" si="33"/>
        <v>97559.36666666665</v>
      </c>
      <c r="K650" s="208"/>
      <c r="L650" s="208"/>
    </row>
  </sheetData>
  <sheetProtection/>
  <mergeCells count="492">
    <mergeCell ref="E645:F645"/>
    <mergeCell ref="H645:I645"/>
    <mergeCell ref="K645:L645"/>
    <mergeCell ref="C346:L346"/>
    <mergeCell ref="E347:F347"/>
    <mergeCell ref="H347:I347"/>
    <mergeCell ref="K347:L347"/>
    <mergeCell ref="C643:I643"/>
    <mergeCell ref="C644:I644"/>
    <mergeCell ref="C524:I524"/>
    <mergeCell ref="K525:L525"/>
    <mergeCell ref="C547:I547"/>
    <mergeCell ref="D575:D577"/>
    <mergeCell ref="E565:F565"/>
    <mergeCell ref="H565:I565"/>
    <mergeCell ref="C539:I539"/>
    <mergeCell ref="E541:F541"/>
    <mergeCell ref="C532:I532"/>
    <mergeCell ref="D484:D485"/>
    <mergeCell ref="E485:F485"/>
    <mergeCell ref="E486:F486"/>
    <mergeCell ref="E487:F487"/>
    <mergeCell ref="E489:F489"/>
    <mergeCell ref="E525:F525"/>
    <mergeCell ref="K503:L503"/>
    <mergeCell ref="E477:F477"/>
    <mergeCell ref="D478:D479"/>
    <mergeCell ref="E480:F480"/>
    <mergeCell ref="C482:I482"/>
    <mergeCell ref="E483:F483"/>
    <mergeCell ref="H483:I483"/>
    <mergeCell ref="E503:F503"/>
    <mergeCell ref="H503:I503"/>
    <mergeCell ref="K483:L483"/>
    <mergeCell ref="B3:M3"/>
    <mergeCell ref="C54:L54"/>
    <mergeCell ref="E55:F55"/>
    <mergeCell ref="H55:I55"/>
    <mergeCell ref="K55:L55"/>
    <mergeCell ref="D56:D57"/>
    <mergeCell ref="E57:F57"/>
    <mergeCell ref="D45:D46"/>
    <mergeCell ref="E46:F46"/>
    <mergeCell ref="E47:F47"/>
    <mergeCell ref="E44:F44"/>
    <mergeCell ref="H44:I44"/>
    <mergeCell ref="K44:L44"/>
    <mergeCell ref="E59:F59"/>
    <mergeCell ref="D34:D35"/>
    <mergeCell ref="C53:L53"/>
    <mergeCell ref="E51:F51"/>
    <mergeCell ref="C43:L43"/>
    <mergeCell ref="K362:L362"/>
    <mergeCell ref="E35:F35"/>
    <mergeCell ref="E36:F36"/>
    <mergeCell ref="E37:F37"/>
    <mergeCell ref="E40:F40"/>
    <mergeCell ref="E435:F435"/>
    <mergeCell ref="C297:L297"/>
    <mergeCell ref="E298:F298"/>
    <mergeCell ref="H298:I298"/>
    <mergeCell ref="K298:L298"/>
    <mergeCell ref="B2:M2"/>
    <mergeCell ref="C32:L32"/>
    <mergeCell ref="E33:F33"/>
    <mergeCell ref="H33:I33"/>
    <mergeCell ref="C345:L345"/>
    <mergeCell ref="E48:F48"/>
    <mergeCell ref="D89:D90"/>
    <mergeCell ref="D70:D75"/>
    <mergeCell ref="E58:F58"/>
    <mergeCell ref="K33:L33"/>
    <mergeCell ref="H400:I400"/>
    <mergeCell ref="D405:D407"/>
    <mergeCell ref="E62:F62"/>
    <mergeCell ref="E355:G355"/>
    <mergeCell ref="H355:J355"/>
    <mergeCell ref="H390:I390"/>
    <mergeCell ref="E384:F384"/>
    <mergeCell ref="C389:I389"/>
    <mergeCell ref="E386:F386"/>
    <mergeCell ref="C381:I381"/>
    <mergeCell ref="E470:F470"/>
    <mergeCell ref="D493:D494"/>
    <mergeCell ref="E492:F492"/>
    <mergeCell ref="E394:F394"/>
    <mergeCell ref="E397:F397"/>
    <mergeCell ref="E436:F436"/>
    <mergeCell ref="C431:I431"/>
    <mergeCell ref="C461:I461"/>
    <mergeCell ref="D433:D434"/>
    <mergeCell ref="E434:F434"/>
    <mergeCell ref="E438:F438"/>
    <mergeCell ref="E467:F467"/>
    <mergeCell ref="H541:I541"/>
    <mergeCell ref="K541:L541"/>
    <mergeCell ref="K572:L572"/>
    <mergeCell ref="K582:L582"/>
    <mergeCell ref="C556:I556"/>
    <mergeCell ref="C462:I462"/>
    <mergeCell ref="E511:F511"/>
    <mergeCell ref="H511:I511"/>
    <mergeCell ref="E495:F495"/>
    <mergeCell ref="C571:I571"/>
    <mergeCell ref="C581:I581"/>
    <mergeCell ref="E582:F582"/>
    <mergeCell ref="H582:I582"/>
    <mergeCell ref="H572:I572"/>
    <mergeCell ref="C531:I531"/>
    <mergeCell ref="H525:I525"/>
    <mergeCell ref="K589:L589"/>
    <mergeCell ref="E597:F597"/>
    <mergeCell ref="H597:I597"/>
    <mergeCell ref="C604:I604"/>
    <mergeCell ref="C596:I596"/>
    <mergeCell ref="C557:I557"/>
    <mergeCell ref="E606:F606"/>
    <mergeCell ref="H606:I606"/>
    <mergeCell ref="E589:F589"/>
    <mergeCell ref="H589:I589"/>
    <mergeCell ref="C588:I588"/>
    <mergeCell ref="E476:F476"/>
    <mergeCell ref="E496:F496"/>
    <mergeCell ref="E500:F500"/>
    <mergeCell ref="E518:F518"/>
    <mergeCell ref="C502:I502"/>
    <mergeCell ref="E466:F466"/>
    <mergeCell ref="B509:I509"/>
    <mergeCell ref="C491:I491"/>
    <mergeCell ref="D468:D469"/>
    <mergeCell ref="K606:L606"/>
    <mergeCell ref="C605:I605"/>
    <mergeCell ref="E558:F558"/>
    <mergeCell ref="H558:I558"/>
    <mergeCell ref="K558:L558"/>
    <mergeCell ref="K518:L518"/>
    <mergeCell ref="K511:L511"/>
    <mergeCell ref="H492:I492"/>
    <mergeCell ref="E494:F494"/>
    <mergeCell ref="K492:L492"/>
    <mergeCell ref="C510:I510"/>
    <mergeCell ref="E463:F463"/>
    <mergeCell ref="H473:I473"/>
    <mergeCell ref="K473:L473"/>
    <mergeCell ref="C472:I472"/>
    <mergeCell ref="E473:F473"/>
    <mergeCell ref="D474:D475"/>
    <mergeCell ref="K463:L463"/>
    <mergeCell ref="D464:D465"/>
    <mergeCell ref="E465:F465"/>
    <mergeCell ref="E475:F475"/>
    <mergeCell ref="K390:L390"/>
    <mergeCell ref="D391:D392"/>
    <mergeCell ref="E392:F392"/>
    <mergeCell ref="E393:F393"/>
    <mergeCell ref="E390:F390"/>
    <mergeCell ref="C359:I359"/>
    <mergeCell ref="D355:D356"/>
    <mergeCell ref="E369:F369"/>
    <mergeCell ref="E365:F365"/>
    <mergeCell ref="E366:F366"/>
    <mergeCell ref="D363:D364"/>
    <mergeCell ref="E372:F372"/>
    <mergeCell ref="H372:I372"/>
    <mergeCell ref="C289:L289"/>
    <mergeCell ref="E291:F291"/>
    <mergeCell ref="H291:I291"/>
    <mergeCell ref="K291:L291"/>
    <mergeCell ref="C290:L290"/>
    <mergeCell ref="C305:L305"/>
    <mergeCell ref="E306:F306"/>
    <mergeCell ref="H306:I306"/>
    <mergeCell ref="C380:I380"/>
    <mergeCell ref="H339:I339"/>
    <mergeCell ref="K339:L339"/>
    <mergeCell ref="C313:L313"/>
    <mergeCell ref="E314:F314"/>
    <mergeCell ref="C273:L273"/>
    <mergeCell ref="E274:F274"/>
    <mergeCell ref="H274:I274"/>
    <mergeCell ref="K274:L274"/>
    <mergeCell ref="C281:L281"/>
    <mergeCell ref="E258:F258"/>
    <mergeCell ref="H258:I258"/>
    <mergeCell ref="K258:L258"/>
    <mergeCell ref="C265:L265"/>
    <mergeCell ref="E266:F266"/>
    <mergeCell ref="H266:I266"/>
    <mergeCell ref="K266:L266"/>
    <mergeCell ref="C230:L230"/>
    <mergeCell ref="C248:L248"/>
    <mergeCell ref="H239:I239"/>
    <mergeCell ref="K239:L239"/>
    <mergeCell ref="E207:F207"/>
    <mergeCell ref="H207:I207"/>
    <mergeCell ref="C223:L223"/>
    <mergeCell ref="E224:F224"/>
    <mergeCell ref="H224:I224"/>
    <mergeCell ref="K224:L224"/>
    <mergeCell ref="B190:L190"/>
    <mergeCell ref="C215:L215"/>
    <mergeCell ref="E239:F239"/>
    <mergeCell ref="C183:L183"/>
    <mergeCell ref="E184:F184"/>
    <mergeCell ref="C238:L238"/>
    <mergeCell ref="C191:L191"/>
    <mergeCell ref="E192:F192"/>
    <mergeCell ref="H192:I192"/>
    <mergeCell ref="K192:L192"/>
    <mergeCell ref="H184:I184"/>
    <mergeCell ref="E170:F170"/>
    <mergeCell ref="E174:F174"/>
    <mergeCell ref="C176:L176"/>
    <mergeCell ref="E177:F177"/>
    <mergeCell ref="K184:L184"/>
    <mergeCell ref="H179:I179"/>
    <mergeCell ref="H177:I177"/>
    <mergeCell ref="H181:I181"/>
    <mergeCell ref="K181:L181"/>
    <mergeCell ref="E143:F143"/>
    <mergeCell ref="E108:F108"/>
    <mergeCell ref="E111:F111"/>
    <mergeCell ref="E117:F117"/>
    <mergeCell ref="E118:F118"/>
    <mergeCell ref="E121:F121"/>
    <mergeCell ref="E125:F125"/>
    <mergeCell ref="C113:L113"/>
    <mergeCell ref="E114:F114"/>
    <mergeCell ref="H114:I114"/>
    <mergeCell ref="H182:I182"/>
    <mergeCell ref="K182:L182"/>
    <mergeCell ref="H180:I180"/>
    <mergeCell ref="K180:L180"/>
    <mergeCell ref="E181:F181"/>
    <mergeCell ref="E138:F138"/>
    <mergeCell ref="E139:F139"/>
    <mergeCell ref="K146:L146"/>
    <mergeCell ref="E179:F179"/>
    <mergeCell ref="E149:F149"/>
    <mergeCell ref="D171:D173"/>
    <mergeCell ref="C10:L10"/>
    <mergeCell ref="C165:L165"/>
    <mergeCell ref="E166:F166"/>
    <mergeCell ref="H166:I166"/>
    <mergeCell ref="K166:L166"/>
    <mergeCell ref="D167:D168"/>
    <mergeCell ref="E168:F168"/>
    <mergeCell ref="D137:D138"/>
    <mergeCell ref="H104:I104"/>
    <mergeCell ref="E376:F376"/>
    <mergeCell ref="E378:F378"/>
    <mergeCell ref="K177:L177"/>
    <mergeCell ref="E178:F178"/>
    <mergeCell ref="H178:I178"/>
    <mergeCell ref="K178:L178"/>
    <mergeCell ref="E364:F364"/>
    <mergeCell ref="C231:L231"/>
    <mergeCell ref="E182:F182"/>
    <mergeCell ref="E180:F180"/>
    <mergeCell ref="A355:A356"/>
    <mergeCell ref="C358:I358"/>
    <mergeCell ref="H432:I432"/>
    <mergeCell ref="D373:D374"/>
    <mergeCell ref="E374:F374"/>
    <mergeCell ref="E382:F382"/>
    <mergeCell ref="H382:I382"/>
    <mergeCell ref="C388:L388"/>
    <mergeCell ref="C355:C356"/>
    <mergeCell ref="E375:F375"/>
    <mergeCell ref="K382:L382"/>
    <mergeCell ref="C7:L7"/>
    <mergeCell ref="A5:A6"/>
    <mergeCell ref="B5:B6"/>
    <mergeCell ref="C5:C6"/>
    <mergeCell ref="D5:D6"/>
    <mergeCell ref="E5:G5"/>
    <mergeCell ref="K5:M5"/>
    <mergeCell ref="H5:J5"/>
    <mergeCell ref="C11:L11"/>
    <mergeCell ref="C12:L12"/>
    <mergeCell ref="E13:F13"/>
    <mergeCell ref="H13:I13"/>
    <mergeCell ref="K13:L13"/>
    <mergeCell ref="D14:D15"/>
    <mergeCell ref="E15:F15"/>
    <mergeCell ref="E16:F16"/>
    <mergeCell ref="E17:F17"/>
    <mergeCell ref="E20:F20"/>
    <mergeCell ref="C22:L22"/>
    <mergeCell ref="E23:F23"/>
    <mergeCell ref="H23:I23"/>
    <mergeCell ref="K23:L23"/>
    <mergeCell ref="B355:B356"/>
    <mergeCell ref="D24:D25"/>
    <mergeCell ref="E25:F25"/>
    <mergeCell ref="E26:F26"/>
    <mergeCell ref="E27:F27"/>
    <mergeCell ref="E30:F30"/>
    <mergeCell ref="E86:F86"/>
    <mergeCell ref="E69:F69"/>
    <mergeCell ref="E76:F76"/>
    <mergeCell ref="C42:L42"/>
    <mergeCell ref="C123:L123"/>
    <mergeCell ref="D147:D148"/>
    <mergeCell ref="E148:F148"/>
    <mergeCell ref="C64:L64"/>
    <mergeCell ref="E65:F65"/>
    <mergeCell ref="H65:I65"/>
    <mergeCell ref="K114:L114"/>
    <mergeCell ref="D115:D116"/>
    <mergeCell ref="K104:L104"/>
    <mergeCell ref="C134:L134"/>
    <mergeCell ref="D85:D86"/>
    <mergeCell ref="E97:F97"/>
    <mergeCell ref="E98:F98"/>
    <mergeCell ref="E169:F169"/>
    <mergeCell ref="C164:L164"/>
    <mergeCell ref="C145:L145"/>
    <mergeCell ref="E146:F146"/>
    <mergeCell ref="H146:I146"/>
    <mergeCell ref="K136:L136"/>
    <mergeCell ref="E136:F136"/>
    <mergeCell ref="C83:L83"/>
    <mergeCell ref="E84:F84"/>
    <mergeCell ref="K65:L65"/>
    <mergeCell ref="D66:D67"/>
    <mergeCell ref="E67:F67"/>
    <mergeCell ref="E68:F68"/>
    <mergeCell ref="H84:I84"/>
    <mergeCell ref="K84:L84"/>
    <mergeCell ref="K94:L94"/>
    <mergeCell ref="D95:D96"/>
    <mergeCell ref="E116:F116"/>
    <mergeCell ref="E87:F87"/>
    <mergeCell ref="E88:F88"/>
    <mergeCell ref="E91:F91"/>
    <mergeCell ref="E96:F96"/>
    <mergeCell ref="K125:L125"/>
    <mergeCell ref="C93:L93"/>
    <mergeCell ref="E94:F94"/>
    <mergeCell ref="C103:L103"/>
    <mergeCell ref="E104:F104"/>
    <mergeCell ref="H125:I125"/>
    <mergeCell ref="D105:D107"/>
    <mergeCell ref="C124:L124"/>
    <mergeCell ref="E101:F101"/>
    <mergeCell ref="H94:I94"/>
    <mergeCell ref="D141:D142"/>
    <mergeCell ref="D126:D127"/>
    <mergeCell ref="E127:F127"/>
    <mergeCell ref="E128:F128"/>
    <mergeCell ref="E129:F129"/>
    <mergeCell ref="E132:F132"/>
    <mergeCell ref="C135:L135"/>
    <mergeCell ref="E140:F140"/>
    <mergeCell ref="E232:F232"/>
    <mergeCell ref="H232:I232"/>
    <mergeCell ref="K232:L232"/>
    <mergeCell ref="H136:I136"/>
    <mergeCell ref="C199:L199"/>
    <mergeCell ref="E200:F200"/>
    <mergeCell ref="H200:I200"/>
    <mergeCell ref="K200:L200"/>
    <mergeCell ref="K207:L207"/>
    <mergeCell ref="D210:D211"/>
    <mergeCell ref="K306:L306"/>
    <mergeCell ref="C249:L249"/>
    <mergeCell ref="E250:F250"/>
    <mergeCell ref="H250:I250"/>
    <mergeCell ref="K250:L250"/>
    <mergeCell ref="C256:L256"/>
    <mergeCell ref="C257:L257"/>
    <mergeCell ref="E282:F282"/>
    <mergeCell ref="H282:I282"/>
    <mergeCell ref="K282:L282"/>
    <mergeCell ref="K400:L400"/>
    <mergeCell ref="D401:D402"/>
    <mergeCell ref="E402:F402"/>
    <mergeCell ref="E441:F441"/>
    <mergeCell ref="H441:I441"/>
    <mergeCell ref="K441:L441"/>
    <mergeCell ref="E432:F432"/>
    <mergeCell ref="K432:L432"/>
    <mergeCell ref="E403:F403"/>
    <mergeCell ref="E404:F404"/>
    <mergeCell ref="E408:F408"/>
    <mergeCell ref="E412:F412"/>
    <mergeCell ref="H412:I412"/>
    <mergeCell ref="K412:L412"/>
    <mergeCell ref="K422:L422"/>
    <mergeCell ref="D423:D424"/>
    <mergeCell ref="E424:F424"/>
    <mergeCell ref="E425:F425"/>
    <mergeCell ref="D413:D414"/>
    <mergeCell ref="E414:F414"/>
    <mergeCell ref="E415:F415"/>
    <mergeCell ref="E416:F416"/>
    <mergeCell ref="E419:F419"/>
    <mergeCell ref="E426:F426"/>
    <mergeCell ref="E429:F429"/>
    <mergeCell ref="C399:I399"/>
    <mergeCell ref="C411:I411"/>
    <mergeCell ref="C421:I421"/>
    <mergeCell ref="H518:I518"/>
    <mergeCell ref="E422:F422"/>
    <mergeCell ref="H422:I422"/>
    <mergeCell ref="E400:F400"/>
    <mergeCell ref="E455:F455"/>
    <mergeCell ref="K452:L452"/>
    <mergeCell ref="D453:D454"/>
    <mergeCell ref="E454:F454"/>
    <mergeCell ref="C517:I517"/>
    <mergeCell ref="D442:D443"/>
    <mergeCell ref="E443:F443"/>
    <mergeCell ref="E444:F444"/>
    <mergeCell ref="E445:F445"/>
    <mergeCell ref="E448:F448"/>
    <mergeCell ref="H463:I463"/>
    <mergeCell ref="E456:F456"/>
    <mergeCell ref="E459:F459"/>
    <mergeCell ref="C440:I440"/>
    <mergeCell ref="C450:I450"/>
    <mergeCell ref="C451:I451"/>
    <mergeCell ref="E452:F452"/>
    <mergeCell ref="H452:I452"/>
    <mergeCell ref="H629:I629"/>
    <mergeCell ref="K629:L629"/>
    <mergeCell ref="C628:I628"/>
    <mergeCell ref="E549:F549"/>
    <mergeCell ref="H549:I549"/>
    <mergeCell ref="K549:L549"/>
    <mergeCell ref="D552:D553"/>
    <mergeCell ref="K565:L565"/>
    <mergeCell ref="C564:I564"/>
    <mergeCell ref="E613:F613"/>
    <mergeCell ref="H613:I613"/>
    <mergeCell ref="K613:L613"/>
    <mergeCell ref="C612:I612"/>
    <mergeCell ref="E533:F533"/>
    <mergeCell ref="H533:I533"/>
    <mergeCell ref="K533:L533"/>
    <mergeCell ref="C540:I540"/>
    <mergeCell ref="C548:I548"/>
    <mergeCell ref="K597:L597"/>
    <mergeCell ref="E572:F572"/>
    <mergeCell ref="E637:F637"/>
    <mergeCell ref="H637:I637"/>
    <mergeCell ref="K637:L637"/>
    <mergeCell ref="C635:I635"/>
    <mergeCell ref="C636:I636"/>
    <mergeCell ref="C620:I620"/>
    <mergeCell ref="E621:F621"/>
    <mergeCell ref="H621:I621"/>
    <mergeCell ref="K621:L621"/>
    <mergeCell ref="E629:F629"/>
    <mergeCell ref="E150:F150"/>
    <mergeCell ref="D151:D152"/>
    <mergeCell ref="E153:F153"/>
    <mergeCell ref="C155:L155"/>
    <mergeCell ref="E156:F156"/>
    <mergeCell ref="H156:I156"/>
    <mergeCell ref="K156:L156"/>
    <mergeCell ref="D157:D158"/>
    <mergeCell ref="E158:F158"/>
    <mergeCell ref="E159:F159"/>
    <mergeCell ref="E160:F160"/>
    <mergeCell ref="E162:F162"/>
    <mergeCell ref="D222:L222"/>
    <mergeCell ref="E216:F216"/>
    <mergeCell ref="H216:I216"/>
    <mergeCell ref="K216:L216"/>
    <mergeCell ref="K179:L179"/>
    <mergeCell ref="K372:L372"/>
    <mergeCell ref="C371:I371"/>
    <mergeCell ref="D326:D329"/>
    <mergeCell ref="C337:L337"/>
    <mergeCell ref="C338:L338"/>
    <mergeCell ref="E339:F339"/>
    <mergeCell ref="C360:I360"/>
    <mergeCell ref="C361:I361"/>
    <mergeCell ref="H362:I362"/>
    <mergeCell ref="B353:L353"/>
    <mergeCell ref="C321:L321"/>
    <mergeCell ref="E322:F322"/>
    <mergeCell ref="D195:D196"/>
    <mergeCell ref="D214:L214"/>
    <mergeCell ref="C206:L206"/>
    <mergeCell ref="H314:I314"/>
    <mergeCell ref="K314:L314"/>
    <mergeCell ref="H322:I322"/>
    <mergeCell ref="K322:L322"/>
    <mergeCell ref="D242:D244"/>
  </mergeCells>
  <printOptions horizontalCentered="1"/>
  <pageMargins left="0.2362204724409449" right="0.15748031496062992" top="0.2362204724409449" bottom="0.2362204724409449" header="0.1968503937007874" footer="0.196850393700787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theme="3" tint="-0.24997000396251678"/>
    <pageSetUpPr fitToPage="1"/>
  </sheetPr>
  <dimension ref="A1:Q32"/>
  <sheetViews>
    <sheetView zoomScaleSheetLayoutView="100" zoomScalePageLayoutView="0" workbookViewId="0" topLeftCell="B20">
      <selection activeCell="E56" sqref="E56"/>
    </sheetView>
  </sheetViews>
  <sheetFormatPr defaultColWidth="9.00390625" defaultRowHeight="15.75"/>
  <cols>
    <col min="1" max="1" width="4.625" style="321" hidden="1" customWidth="1"/>
    <col min="2" max="2" width="4.625" style="321" customWidth="1"/>
    <col min="3" max="3" width="29.375" style="219" customWidth="1"/>
    <col min="4" max="4" width="8.625" style="219" customWidth="1"/>
    <col min="5" max="5" width="9.375" style="219" customWidth="1"/>
    <col min="6" max="6" width="8.625" style="219" customWidth="1"/>
    <col min="7" max="7" width="9.50390625" style="219" customWidth="1"/>
    <col min="8" max="8" width="9.00390625" style="219" customWidth="1"/>
    <col min="9" max="9" width="9.50390625" style="219" customWidth="1"/>
    <col min="10" max="10" width="9.00390625" style="219" customWidth="1"/>
    <col min="11" max="11" width="9.25390625" style="219" customWidth="1"/>
    <col min="12" max="12" width="7.875" style="219" customWidth="1"/>
    <col min="13" max="13" width="9.50390625" style="219" customWidth="1"/>
    <col min="14" max="14" width="6.75390625" style="219" customWidth="1"/>
    <col min="15" max="15" width="6.00390625" style="219" customWidth="1"/>
    <col min="16" max="17" width="6.50390625" style="219" customWidth="1"/>
    <col min="18" max="16384" width="8.75390625" style="321" customWidth="1"/>
  </cols>
  <sheetData>
    <row r="1" spans="1:5" s="219" customFormat="1" ht="15">
      <c r="A1" s="220" t="s">
        <v>47</v>
      </c>
      <c r="B1" s="220"/>
      <c r="C1" s="527" t="s">
        <v>404</v>
      </c>
      <c r="D1" s="527"/>
      <c r="E1" s="527"/>
    </row>
    <row r="2" spans="9:15" s="219" customFormat="1" ht="15">
      <c r="I2" s="222"/>
      <c r="M2" s="222" t="s">
        <v>70</v>
      </c>
      <c r="N2" s="294"/>
      <c r="O2" s="294"/>
    </row>
    <row r="3" spans="1:15" s="219" customFormat="1" ht="29.25" customHeight="1">
      <c r="A3" s="528" t="s">
        <v>24</v>
      </c>
      <c r="B3" s="295"/>
      <c r="C3" s="530" t="s">
        <v>44</v>
      </c>
      <c r="D3" s="532" t="s">
        <v>338</v>
      </c>
      <c r="E3" s="533"/>
      <c r="F3" s="532" t="s">
        <v>339</v>
      </c>
      <c r="G3" s="533"/>
      <c r="H3" s="530" t="s">
        <v>340</v>
      </c>
      <c r="I3" s="530"/>
      <c r="J3" s="532" t="s">
        <v>127</v>
      </c>
      <c r="K3" s="533"/>
      <c r="L3" s="530" t="s">
        <v>405</v>
      </c>
      <c r="M3" s="530"/>
      <c r="N3" s="296"/>
      <c r="O3" s="296"/>
    </row>
    <row r="4" spans="1:15" s="219" customFormat="1" ht="26.25">
      <c r="A4" s="529"/>
      <c r="B4" s="295"/>
      <c r="C4" s="531"/>
      <c r="D4" s="224" t="s">
        <v>3</v>
      </c>
      <c r="E4" s="224" t="s">
        <v>4</v>
      </c>
      <c r="F4" s="224" t="s">
        <v>3</v>
      </c>
      <c r="G4" s="224" t="s">
        <v>4</v>
      </c>
      <c r="H4" s="226" t="s">
        <v>3</v>
      </c>
      <c r="I4" s="226" t="s">
        <v>4</v>
      </c>
      <c r="J4" s="224" t="s">
        <v>3</v>
      </c>
      <c r="K4" s="224" t="s">
        <v>4</v>
      </c>
      <c r="L4" s="226" t="s">
        <v>3</v>
      </c>
      <c r="M4" s="226" t="s">
        <v>4</v>
      </c>
      <c r="N4" s="294"/>
      <c r="O4" s="242"/>
    </row>
    <row r="5" spans="1:15" s="219" customFormat="1" ht="15">
      <c r="A5" s="297">
        <v>1</v>
      </c>
      <c r="B5" s="295"/>
      <c r="C5" s="226">
        <v>1</v>
      </c>
      <c r="D5" s="226">
        <v>2</v>
      </c>
      <c r="E5" s="226">
        <v>3</v>
      </c>
      <c r="F5" s="226">
        <v>4</v>
      </c>
      <c r="G5" s="226">
        <v>5</v>
      </c>
      <c r="H5" s="226">
        <v>6</v>
      </c>
      <c r="I5" s="226">
        <v>7</v>
      </c>
      <c r="J5" s="226">
        <v>8</v>
      </c>
      <c r="K5" s="226">
        <v>9</v>
      </c>
      <c r="L5" s="226">
        <v>10</v>
      </c>
      <c r="M5" s="226">
        <v>11</v>
      </c>
      <c r="N5" s="294"/>
      <c r="O5" s="242"/>
    </row>
    <row r="6" spans="1:15" s="219" customFormat="1" ht="15" hidden="1">
      <c r="A6" s="297"/>
      <c r="B6" s="295"/>
      <c r="C6" s="228" t="s">
        <v>74</v>
      </c>
      <c r="D6" s="226"/>
      <c r="E6" s="226"/>
      <c r="F6" s="226"/>
      <c r="G6" s="226"/>
      <c r="H6" s="226"/>
      <c r="I6" s="226"/>
      <c r="J6" s="226"/>
      <c r="K6" s="226"/>
      <c r="L6" s="226"/>
      <c r="M6" s="226"/>
      <c r="N6" s="294"/>
      <c r="O6" s="242"/>
    </row>
    <row r="7" spans="1:15" s="219" customFormat="1" ht="15">
      <c r="A7" s="297"/>
      <c r="B7" s="295"/>
      <c r="C7" s="228"/>
      <c r="D7" s="226"/>
      <c r="E7" s="226"/>
      <c r="F7" s="226"/>
      <c r="G7" s="226"/>
      <c r="H7" s="226"/>
      <c r="I7" s="226"/>
      <c r="J7" s="226"/>
      <c r="K7" s="226"/>
      <c r="L7" s="226"/>
      <c r="M7" s="226"/>
      <c r="N7" s="294"/>
      <c r="O7" s="242"/>
    </row>
    <row r="8" spans="1:15" s="219" customFormat="1" ht="15">
      <c r="A8" s="298"/>
      <c r="B8" s="299"/>
      <c r="C8" s="300"/>
      <c r="D8" s="225"/>
      <c r="E8" s="225"/>
      <c r="F8" s="225"/>
      <c r="G8" s="225"/>
      <c r="H8" s="225"/>
      <c r="I8" s="225"/>
      <c r="J8" s="225"/>
      <c r="K8" s="225"/>
      <c r="L8" s="225"/>
      <c r="M8" s="225"/>
      <c r="N8" s="294"/>
      <c r="O8" s="301"/>
    </row>
    <row r="9" spans="1:15" s="219" customFormat="1" ht="15">
      <c r="A9" s="298"/>
      <c r="B9" s="299"/>
      <c r="C9" s="300"/>
      <c r="D9" s="225"/>
      <c r="E9" s="225"/>
      <c r="F9" s="225"/>
      <c r="G9" s="225"/>
      <c r="H9" s="225"/>
      <c r="I9" s="225"/>
      <c r="J9" s="225"/>
      <c r="K9" s="225"/>
      <c r="L9" s="225"/>
      <c r="M9" s="225"/>
      <c r="N9" s="294"/>
      <c r="O9" s="301"/>
    </row>
    <row r="10" spans="1:15" s="219" customFormat="1" ht="15">
      <c r="A10" s="298"/>
      <c r="B10" s="299"/>
      <c r="C10" s="300"/>
      <c r="D10" s="225"/>
      <c r="E10" s="225"/>
      <c r="F10" s="225"/>
      <c r="G10" s="225"/>
      <c r="H10" s="225"/>
      <c r="I10" s="225"/>
      <c r="J10" s="225"/>
      <c r="K10" s="225"/>
      <c r="L10" s="225"/>
      <c r="M10" s="225"/>
      <c r="N10" s="294"/>
      <c r="O10" s="301"/>
    </row>
    <row r="11" spans="1:15" s="219" customFormat="1" ht="15">
      <c r="A11" s="298"/>
      <c r="B11" s="299"/>
      <c r="C11" s="300"/>
      <c r="D11" s="225"/>
      <c r="E11" s="225"/>
      <c r="F11" s="225"/>
      <c r="G11" s="225"/>
      <c r="H11" s="225"/>
      <c r="I11" s="225"/>
      <c r="J11" s="225"/>
      <c r="K11" s="225"/>
      <c r="L11" s="225"/>
      <c r="M11" s="225"/>
      <c r="N11" s="294"/>
      <c r="O11" s="301"/>
    </row>
    <row r="12" spans="1:15" s="219" customFormat="1" ht="15">
      <c r="A12" s="302"/>
      <c r="B12" s="303"/>
      <c r="C12" s="304" t="s">
        <v>331</v>
      </c>
      <c r="D12" s="238" t="s">
        <v>40</v>
      </c>
      <c r="E12" s="238" t="s">
        <v>40</v>
      </c>
      <c r="F12" s="238" t="s">
        <v>40</v>
      </c>
      <c r="G12" s="238" t="s">
        <v>40</v>
      </c>
      <c r="H12" s="238" t="s">
        <v>40</v>
      </c>
      <c r="I12" s="238" t="s">
        <v>40</v>
      </c>
      <c r="J12" s="238" t="s">
        <v>40</v>
      </c>
      <c r="K12" s="238" t="s">
        <v>40</v>
      </c>
      <c r="L12" s="238" t="s">
        <v>40</v>
      </c>
      <c r="M12" s="225" t="s">
        <v>40</v>
      </c>
      <c r="N12" s="294"/>
      <c r="O12" s="301"/>
    </row>
    <row r="13" spans="1:15" s="219" customFormat="1" ht="39">
      <c r="A13" s="305"/>
      <c r="B13" s="306"/>
      <c r="C13" s="307" t="s">
        <v>77</v>
      </c>
      <c r="D13" s="226" t="s">
        <v>7</v>
      </c>
      <c r="E13" s="308" t="s">
        <v>40</v>
      </c>
      <c r="F13" s="226" t="s">
        <v>7</v>
      </c>
      <c r="G13" s="308" t="s">
        <v>40</v>
      </c>
      <c r="H13" s="226" t="s">
        <v>7</v>
      </c>
      <c r="I13" s="308" t="s">
        <v>40</v>
      </c>
      <c r="J13" s="226" t="s">
        <v>7</v>
      </c>
      <c r="K13" s="308" t="s">
        <v>40</v>
      </c>
      <c r="L13" s="226" t="s">
        <v>7</v>
      </c>
      <c r="M13" s="308" t="s">
        <v>40</v>
      </c>
      <c r="N13" s="294"/>
      <c r="O13" s="309"/>
    </row>
    <row r="14" spans="1:15" ht="15">
      <c r="A14" s="310"/>
      <c r="B14" s="310"/>
      <c r="C14" s="311"/>
      <c r="D14" s="242"/>
      <c r="E14" s="312"/>
      <c r="F14" s="242"/>
      <c r="G14" s="312"/>
      <c r="H14" s="242"/>
      <c r="I14" s="312"/>
      <c r="J14" s="242"/>
      <c r="M14" s="294"/>
      <c r="N14" s="294"/>
      <c r="O14" s="309"/>
    </row>
    <row r="15" spans="1:15" ht="15">
      <c r="A15" s="310"/>
      <c r="B15" s="310"/>
      <c r="C15" s="311"/>
      <c r="D15" s="242"/>
      <c r="E15" s="312"/>
      <c r="F15" s="242"/>
      <c r="G15" s="312"/>
      <c r="H15" s="242"/>
      <c r="I15" s="312"/>
      <c r="J15" s="242"/>
      <c r="M15" s="294"/>
      <c r="N15" s="294"/>
      <c r="O15" s="309"/>
    </row>
    <row r="16" spans="1:6" s="219" customFormat="1" ht="15">
      <c r="A16" s="220" t="s">
        <v>56</v>
      </c>
      <c r="B16" s="220"/>
      <c r="C16" s="313" t="s">
        <v>406</v>
      </c>
      <c r="D16" s="313"/>
      <c r="E16" s="313"/>
      <c r="F16" s="313"/>
    </row>
    <row r="17" spans="1:17" s="219" customFormat="1" ht="17.25" customHeight="1">
      <c r="A17" s="536" t="s">
        <v>24</v>
      </c>
      <c r="B17" s="536" t="s">
        <v>24</v>
      </c>
      <c r="C17" s="536" t="s">
        <v>26</v>
      </c>
      <c r="D17" s="532" t="s">
        <v>338</v>
      </c>
      <c r="E17" s="540"/>
      <c r="F17" s="540"/>
      <c r="G17" s="533"/>
      <c r="H17" s="532" t="s">
        <v>407</v>
      </c>
      <c r="I17" s="540"/>
      <c r="J17" s="540"/>
      <c r="K17" s="533"/>
      <c r="L17" s="532" t="s">
        <v>110</v>
      </c>
      <c r="M17" s="533"/>
      <c r="N17" s="532" t="s">
        <v>134</v>
      </c>
      <c r="O17" s="533"/>
      <c r="P17" s="532" t="s">
        <v>408</v>
      </c>
      <c r="Q17" s="533"/>
    </row>
    <row r="18" spans="1:17" s="219" customFormat="1" ht="16.5" customHeight="1">
      <c r="A18" s="537"/>
      <c r="B18" s="537"/>
      <c r="C18" s="537"/>
      <c r="D18" s="542" t="s">
        <v>3</v>
      </c>
      <c r="E18" s="543"/>
      <c r="F18" s="542" t="s">
        <v>4</v>
      </c>
      <c r="G18" s="543"/>
      <c r="H18" s="542" t="s">
        <v>3</v>
      </c>
      <c r="I18" s="543"/>
      <c r="J18" s="542" t="s">
        <v>4</v>
      </c>
      <c r="K18" s="543"/>
      <c r="L18" s="534" t="s">
        <v>5</v>
      </c>
      <c r="M18" s="534" t="s">
        <v>27</v>
      </c>
      <c r="N18" s="534" t="s">
        <v>5</v>
      </c>
      <c r="O18" s="534" t="s">
        <v>27</v>
      </c>
      <c r="P18" s="541" t="s">
        <v>5</v>
      </c>
      <c r="Q18" s="541" t="s">
        <v>27</v>
      </c>
    </row>
    <row r="19" spans="1:17" s="219" customFormat="1" ht="18" customHeight="1" hidden="1">
      <c r="A19" s="537"/>
      <c r="B19" s="537"/>
      <c r="C19" s="537"/>
      <c r="D19" s="544"/>
      <c r="E19" s="545"/>
      <c r="F19" s="544"/>
      <c r="G19" s="545"/>
      <c r="H19" s="544"/>
      <c r="I19" s="545"/>
      <c r="J19" s="544"/>
      <c r="K19" s="545"/>
      <c r="L19" s="534"/>
      <c r="M19" s="534"/>
      <c r="N19" s="534"/>
      <c r="O19" s="534"/>
      <c r="P19" s="541"/>
      <c r="Q19" s="541"/>
    </row>
    <row r="20" spans="1:17" s="219" customFormat="1" ht="48.75" customHeight="1">
      <c r="A20" s="538"/>
      <c r="B20" s="539"/>
      <c r="C20" s="539"/>
      <c r="D20" s="314" t="s">
        <v>29</v>
      </c>
      <c r="E20" s="314" t="s">
        <v>9</v>
      </c>
      <c r="F20" s="314" t="s">
        <v>29</v>
      </c>
      <c r="G20" s="314" t="s">
        <v>9</v>
      </c>
      <c r="H20" s="314" t="s">
        <v>29</v>
      </c>
      <c r="I20" s="314" t="s">
        <v>9</v>
      </c>
      <c r="J20" s="314" t="s">
        <v>29</v>
      </c>
      <c r="K20" s="314" t="s">
        <v>9</v>
      </c>
      <c r="L20" s="535"/>
      <c r="M20" s="535"/>
      <c r="N20" s="535"/>
      <c r="O20" s="535"/>
      <c r="P20" s="541"/>
      <c r="Q20" s="541"/>
    </row>
    <row r="21" spans="1:17" s="219" customFormat="1" ht="12" customHeight="1">
      <c r="A21" s="226">
        <v>1</v>
      </c>
      <c r="B21" s="226">
        <v>1</v>
      </c>
      <c r="C21" s="226">
        <v>2</v>
      </c>
      <c r="D21" s="223">
        <v>3</v>
      </c>
      <c r="E21" s="223">
        <v>4</v>
      </c>
      <c r="F21" s="223">
        <v>5</v>
      </c>
      <c r="G21" s="223">
        <v>6</v>
      </c>
      <c r="H21" s="223">
        <v>7</v>
      </c>
      <c r="I21" s="223">
        <v>8</v>
      </c>
      <c r="J21" s="223">
        <v>9</v>
      </c>
      <c r="K21" s="223">
        <v>10</v>
      </c>
      <c r="L21" s="223">
        <v>11</v>
      </c>
      <c r="M21" s="223">
        <v>12</v>
      </c>
      <c r="N21" s="223">
        <v>13</v>
      </c>
      <c r="O21" s="315">
        <v>14</v>
      </c>
      <c r="P21" s="316">
        <v>15</v>
      </c>
      <c r="Q21" s="316">
        <v>16</v>
      </c>
    </row>
    <row r="22" spans="1:17" s="219" customFormat="1" ht="12" customHeight="1">
      <c r="A22" s="226"/>
      <c r="B22" s="226"/>
      <c r="C22" s="317"/>
      <c r="D22" s="226" t="s">
        <v>40</v>
      </c>
      <c r="E22" s="226" t="s">
        <v>40</v>
      </c>
      <c r="F22" s="226" t="s">
        <v>40</v>
      </c>
      <c r="G22" s="226" t="s">
        <v>40</v>
      </c>
      <c r="H22" s="226" t="s">
        <v>40</v>
      </c>
      <c r="I22" s="226" t="s">
        <v>40</v>
      </c>
      <c r="J22" s="226" t="s">
        <v>40</v>
      </c>
      <c r="K22" s="226" t="s">
        <v>40</v>
      </c>
      <c r="L22" s="226" t="s">
        <v>40</v>
      </c>
      <c r="M22" s="226" t="s">
        <v>40</v>
      </c>
      <c r="N22" s="226" t="s">
        <v>40</v>
      </c>
      <c r="O22" s="226" t="s">
        <v>40</v>
      </c>
      <c r="P22" s="226" t="s">
        <v>40</v>
      </c>
      <c r="Q22" s="226" t="s">
        <v>40</v>
      </c>
    </row>
    <row r="23" spans="1:17" s="219" customFormat="1" ht="12" customHeight="1">
      <c r="A23" s="226"/>
      <c r="B23" s="226"/>
      <c r="C23" s="318" t="s">
        <v>40</v>
      </c>
      <c r="D23" s="226" t="s">
        <v>40</v>
      </c>
      <c r="E23" s="226" t="s">
        <v>40</v>
      </c>
      <c r="F23" s="226" t="s">
        <v>40</v>
      </c>
      <c r="G23" s="226" t="s">
        <v>40</v>
      </c>
      <c r="H23" s="226" t="s">
        <v>40</v>
      </c>
      <c r="I23" s="226" t="s">
        <v>40</v>
      </c>
      <c r="J23" s="226" t="s">
        <v>40</v>
      </c>
      <c r="K23" s="226" t="s">
        <v>40</v>
      </c>
      <c r="L23" s="226" t="s">
        <v>40</v>
      </c>
      <c r="M23" s="226" t="s">
        <v>40</v>
      </c>
      <c r="N23" s="226" t="s">
        <v>40</v>
      </c>
      <c r="O23" s="226" t="s">
        <v>40</v>
      </c>
      <c r="P23" s="226" t="s">
        <v>40</v>
      </c>
      <c r="Q23" s="226" t="s">
        <v>40</v>
      </c>
    </row>
    <row r="24" spans="1:17" s="219" customFormat="1" ht="12" customHeight="1">
      <c r="A24" s="226"/>
      <c r="B24" s="226"/>
      <c r="C24" s="318" t="s">
        <v>40</v>
      </c>
      <c r="D24" s="226" t="s">
        <v>40</v>
      </c>
      <c r="E24" s="226" t="s">
        <v>40</v>
      </c>
      <c r="F24" s="226" t="s">
        <v>40</v>
      </c>
      <c r="G24" s="226" t="s">
        <v>40</v>
      </c>
      <c r="H24" s="226" t="s">
        <v>40</v>
      </c>
      <c r="I24" s="226" t="s">
        <v>40</v>
      </c>
      <c r="J24" s="226" t="s">
        <v>40</v>
      </c>
      <c r="K24" s="226" t="s">
        <v>40</v>
      </c>
      <c r="L24" s="226" t="s">
        <v>40</v>
      </c>
      <c r="M24" s="226" t="s">
        <v>40</v>
      </c>
      <c r="N24" s="226" t="s">
        <v>40</v>
      </c>
      <c r="O24" s="226" t="s">
        <v>40</v>
      </c>
      <c r="P24" s="226" t="s">
        <v>40</v>
      </c>
      <c r="Q24" s="226" t="s">
        <v>40</v>
      </c>
    </row>
    <row r="25" spans="1:17" s="219" customFormat="1" ht="12" customHeight="1">
      <c r="A25" s="226"/>
      <c r="B25" s="226"/>
      <c r="C25" s="318" t="s">
        <v>40</v>
      </c>
      <c r="D25" s="226" t="s">
        <v>40</v>
      </c>
      <c r="E25" s="226" t="s">
        <v>40</v>
      </c>
      <c r="F25" s="226" t="s">
        <v>40</v>
      </c>
      <c r="G25" s="226" t="s">
        <v>40</v>
      </c>
      <c r="H25" s="226" t="s">
        <v>40</v>
      </c>
      <c r="I25" s="226" t="s">
        <v>40</v>
      </c>
      <c r="J25" s="226" t="s">
        <v>40</v>
      </c>
      <c r="K25" s="226" t="s">
        <v>40</v>
      </c>
      <c r="L25" s="226" t="s">
        <v>40</v>
      </c>
      <c r="M25" s="226" t="s">
        <v>40</v>
      </c>
      <c r="N25" s="226" t="s">
        <v>40</v>
      </c>
      <c r="O25" s="226" t="s">
        <v>40</v>
      </c>
      <c r="P25" s="226" t="s">
        <v>40</v>
      </c>
      <c r="Q25" s="226" t="s">
        <v>40</v>
      </c>
    </row>
    <row r="26" spans="1:17" s="219" customFormat="1" ht="12" customHeight="1">
      <c r="A26" s="226"/>
      <c r="B26" s="226"/>
      <c r="C26" s="318" t="s">
        <v>40</v>
      </c>
      <c r="D26" s="226" t="s">
        <v>40</v>
      </c>
      <c r="E26" s="226" t="s">
        <v>40</v>
      </c>
      <c r="F26" s="226" t="s">
        <v>40</v>
      </c>
      <c r="G26" s="226" t="s">
        <v>40</v>
      </c>
      <c r="H26" s="226" t="s">
        <v>40</v>
      </c>
      <c r="I26" s="226" t="s">
        <v>40</v>
      </c>
      <c r="J26" s="226" t="s">
        <v>40</v>
      </c>
      <c r="K26" s="226" t="s">
        <v>40</v>
      </c>
      <c r="L26" s="226" t="s">
        <v>40</v>
      </c>
      <c r="M26" s="226" t="s">
        <v>40</v>
      </c>
      <c r="N26" s="226" t="s">
        <v>40</v>
      </c>
      <c r="O26" s="226" t="s">
        <v>40</v>
      </c>
      <c r="P26" s="226" t="s">
        <v>40</v>
      </c>
      <c r="Q26" s="226" t="s">
        <v>40</v>
      </c>
    </row>
    <row r="27" spans="1:17" s="219" customFormat="1" ht="12" customHeight="1">
      <c r="A27" s="226"/>
      <c r="B27" s="226"/>
      <c r="C27" s="318" t="s">
        <v>40</v>
      </c>
      <c r="D27" s="226" t="s">
        <v>40</v>
      </c>
      <c r="E27" s="226" t="s">
        <v>40</v>
      </c>
      <c r="F27" s="226" t="s">
        <v>40</v>
      </c>
      <c r="G27" s="226" t="s">
        <v>40</v>
      </c>
      <c r="H27" s="226" t="s">
        <v>40</v>
      </c>
      <c r="I27" s="226" t="s">
        <v>40</v>
      </c>
      <c r="J27" s="226" t="s">
        <v>40</v>
      </c>
      <c r="K27" s="226" t="s">
        <v>40</v>
      </c>
      <c r="L27" s="226" t="s">
        <v>40</v>
      </c>
      <c r="M27" s="226" t="s">
        <v>40</v>
      </c>
      <c r="N27" s="226" t="s">
        <v>40</v>
      </c>
      <c r="O27" s="226" t="s">
        <v>40</v>
      </c>
      <c r="P27" s="226" t="s">
        <v>40</v>
      </c>
      <c r="Q27" s="226" t="s">
        <v>40</v>
      </c>
    </row>
    <row r="28" spans="1:17" s="219" customFormat="1" ht="15">
      <c r="A28" s="230"/>
      <c r="B28" s="230"/>
      <c r="C28" s="319" t="s">
        <v>28</v>
      </c>
      <c r="D28" s="226" t="s">
        <v>40</v>
      </c>
      <c r="E28" s="226" t="s">
        <v>40</v>
      </c>
      <c r="F28" s="226" t="s">
        <v>40</v>
      </c>
      <c r="G28" s="226" t="s">
        <v>40</v>
      </c>
      <c r="H28" s="226" t="s">
        <v>40</v>
      </c>
      <c r="I28" s="226" t="s">
        <v>40</v>
      </c>
      <c r="J28" s="226" t="s">
        <v>40</v>
      </c>
      <c r="K28" s="226" t="s">
        <v>40</v>
      </c>
      <c r="L28" s="226" t="s">
        <v>40</v>
      </c>
      <c r="M28" s="226" t="s">
        <v>40</v>
      </c>
      <c r="N28" s="226" t="s">
        <v>40</v>
      </c>
      <c r="O28" s="226" t="s">
        <v>40</v>
      </c>
      <c r="P28" s="226" t="s">
        <v>40</v>
      </c>
      <c r="Q28" s="226" t="s">
        <v>40</v>
      </c>
    </row>
    <row r="29" spans="1:17" s="219" customFormat="1" ht="39">
      <c r="A29" s="230"/>
      <c r="B29" s="230"/>
      <c r="C29" s="307" t="s">
        <v>10</v>
      </c>
      <c r="D29" s="226" t="s">
        <v>7</v>
      </c>
      <c r="E29" s="226" t="s">
        <v>7</v>
      </c>
      <c r="F29" s="226" t="s">
        <v>40</v>
      </c>
      <c r="G29" s="226" t="s">
        <v>40</v>
      </c>
      <c r="H29" s="226" t="s">
        <v>7</v>
      </c>
      <c r="I29" s="226" t="s">
        <v>7</v>
      </c>
      <c r="J29" s="226" t="s">
        <v>40</v>
      </c>
      <c r="K29" s="226" t="s">
        <v>40</v>
      </c>
      <c r="L29" s="226" t="s">
        <v>7</v>
      </c>
      <c r="M29" s="226" t="s">
        <v>40</v>
      </c>
      <c r="N29" s="226" t="s">
        <v>7</v>
      </c>
      <c r="O29" s="226" t="s">
        <v>40</v>
      </c>
      <c r="P29" s="226" t="s">
        <v>7</v>
      </c>
      <c r="Q29" s="226" t="s">
        <v>40</v>
      </c>
    </row>
    <row r="30" spans="1:14" ht="15">
      <c r="A30" s="320"/>
      <c r="B30" s="320"/>
      <c r="C30" s="320"/>
      <c r="D30" s="320"/>
      <c r="E30" s="320"/>
      <c r="F30" s="320"/>
      <c r="G30" s="320"/>
      <c r="H30" s="320"/>
      <c r="I30" s="320"/>
      <c r="J30" s="320"/>
      <c r="K30" s="320"/>
      <c r="L30" s="320"/>
      <c r="M30" s="320"/>
      <c r="N30" s="320"/>
    </row>
    <row r="31" spans="1:12" ht="15">
      <c r="A31" s="220"/>
      <c r="B31" s="220"/>
      <c r="C31" s="221"/>
      <c r="D31" s="221"/>
      <c r="H31" s="322"/>
      <c r="L31" s="323"/>
    </row>
    <row r="32" spans="1:3" ht="15">
      <c r="A32" s="220"/>
      <c r="B32" s="220"/>
      <c r="C32" s="221"/>
    </row>
  </sheetData>
  <sheetProtection/>
  <mergeCells count="26">
    <mergeCell ref="P18:P20"/>
    <mergeCell ref="Q18:Q20"/>
    <mergeCell ref="N17:O17"/>
    <mergeCell ref="P17:Q17"/>
    <mergeCell ref="D18:E19"/>
    <mergeCell ref="F18:G19"/>
    <mergeCell ref="H18:I19"/>
    <mergeCell ref="J18:K19"/>
    <mergeCell ref="L18:L20"/>
    <mergeCell ref="M18:M20"/>
    <mergeCell ref="N18:N20"/>
    <mergeCell ref="O18:O20"/>
    <mergeCell ref="J3:K3"/>
    <mergeCell ref="L3:M3"/>
    <mergeCell ref="A17:A20"/>
    <mergeCell ref="B17:B20"/>
    <mergeCell ref="C17:C20"/>
    <mergeCell ref="D17:G17"/>
    <mergeCell ref="H17:K17"/>
    <mergeCell ref="L17:M17"/>
    <mergeCell ref="C1:E1"/>
    <mergeCell ref="A3:A4"/>
    <mergeCell ref="C3:C4"/>
    <mergeCell ref="D3:E3"/>
    <mergeCell ref="F3:G3"/>
    <mergeCell ref="H3:I3"/>
  </mergeCells>
  <printOptions horizontalCentered="1" verticalCentered="1"/>
  <pageMargins left="0" right="0" top="0" bottom="0" header="0" footer="0"/>
  <pageSetup fitToHeight="1" fitToWidth="1"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sheetPr>
    <tabColor theme="3" tint="-0.24997000396251678"/>
  </sheetPr>
  <dimension ref="A1:M23"/>
  <sheetViews>
    <sheetView zoomScaleSheetLayoutView="100" zoomScalePageLayoutView="0" workbookViewId="0" topLeftCell="A12">
      <selection activeCell="E56" sqref="E56"/>
    </sheetView>
  </sheetViews>
  <sheetFormatPr defaultColWidth="9.00390625" defaultRowHeight="15.75"/>
  <cols>
    <col min="1" max="1" width="5.125" style="0" customWidth="1"/>
    <col min="2" max="2" width="3.875" style="0" hidden="1" customWidth="1"/>
    <col min="3" max="3" width="23.875" style="0" customWidth="1"/>
    <col min="4" max="4" width="17.25390625" style="0" customWidth="1"/>
    <col min="5" max="5" width="10.75390625" style="0" customWidth="1"/>
    <col min="6" max="6" width="10.875" style="0" customWidth="1"/>
    <col min="7" max="7" width="10.00390625" style="0" customWidth="1"/>
    <col min="9" max="10" width="9.875" style="0" customWidth="1"/>
    <col min="12" max="12" width="10.125" style="0" customWidth="1"/>
  </cols>
  <sheetData>
    <row r="1" spans="1:2" s="42" customFormat="1" ht="15">
      <c r="A1" s="44"/>
      <c r="B1" s="44"/>
    </row>
    <row r="2" spans="1:10" s="15" customFormat="1" ht="15">
      <c r="A2" s="1" t="s">
        <v>57</v>
      </c>
      <c r="B2" s="11" t="s">
        <v>57</v>
      </c>
      <c r="C2" s="1" t="s">
        <v>468</v>
      </c>
      <c r="D2" s="1"/>
      <c r="E2" s="1"/>
      <c r="I2" s="5"/>
      <c r="J2" s="5"/>
    </row>
    <row r="3" spans="2:10" s="15" customFormat="1" ht="15">
      <c r="B3" s="11"/>
      <c r="C3" s="1"/>
      <c r="D3" s="1"/>
      <c r="E3" s="1"/>
      <c r="I3" s="5"/>
      <c r="J3" s="5"/>
    </row>
    <row r="4" spans="1:4" s="15" customFormat="1" ht="15">
      <c r="A4" s="1" t="s">
        <v>334</v>
      </c>
      <c r="B4" s="11" t="s">
        <v>58</v>
      </c>
      <c r="C4" s="1" t="s">
        <v>488</v>
      </c>
      <c r="D4" s="1"/>
    </row>
    <row r="5" s="15" customFormat="1" ht="23.25" customHeight="1">
      <c r="L5" s="26" t="s">
        <v>70</v>
      </c>
    </row>
    <row r="6" spans="1:13" s="15" customFormat="1" ht="30" customHeight="1">
      <c r="A6" s="469" t="s">
        <v>78</v>
      </c>
      <c r="B6" s="469" t="s">
        <v>59</v>
      </c>
      <c r="C6" s="469" t="s">
        <v>409</v>
      </c>
      <c r="D6" s="469" t="s">
        <v>31</v>
      </c>
      <c r="E6" s="437" t="s">
        <v>338</v>
      </c>
      <c r="F6" s="454"/>
      <c r="G6" s="426"/>
      <c r="H6" s="437" t="s">
        <v>339</v>
      </c>
      <c r="I6" s="454"/>
      <c r="J6" s="426"/>
      <c r="K6" s="437" t="s">
        <v>340</v>
      </c>
      <c r="L6" s="454"/>
      <c r="M6" s="426"/>
    </row>
    <row r="7" spans="1:13" s="15" customFormat="1" ht="33" customHeight="1">
      <c r="A7" s="474"/>
      <c r="B7" s="474"/>
      <c r="C7" s="474"/>
      <c r="D7" s="474"/>
      <c r="E7" s="10" t="s">
        <v>3</v>
      </c>
      <c r="F7" s="10" t="s">
        <v>4</v>
      </c>
      <c r="G7" s="10" t="s">
        <v>410</v>
      </c>
      <c r="H7" s="10" t="s">
        <v>3</v>
      </c>
      <c r="I7" s="10" t="s">
        <v>4</v>
      </c>
      <c r="J7" s="10" t="s">
        <v>72</v>
      </c>
      <c r="K7" s="2" t="s">
        <v>3</v>
      </c>
      <c r="L7" s="2" t="s">
        <v>4</v>
      </c>
      <c r="M7" s="263" t="s">
        <v>411</v>
      </c>
    </row>
    <row r="8" spans="1:13" s="15" customFormat="1" ht="15">
      <c r="A8" s="2">
        <v>1</v>
      </c>
      <c r="B8" s="2">
        <v>2</v>
      </c>
      <c r="C8" s="2">
        <v>2</v>
      </c>
      <c r="D8" s="2">
        <v>3</v>
      </c>
      <c r="E8" s="2">
        <v>4</v>
      </c>
      <c r="F8" s="2">
        <v>5</v>
      </c>
      <c r="G8" s="2">
        <v>6</v>
      </c>
      <c r="H8" s="2">
        <v>7</v>
      </c>
      <c r="I8" s="2">
        <v>8</v>
      </c>
      <c r="J8" s="2">
        <v>9</v>
      </c>
      <c r="K8" s="2">
        <v>10</v>
      </c>
      <c r="L8" s="2">
        <v>11</v>
      </c>
      <c r="M8" s="326">
        <v>12</v>
      </c>
    </row>
    <row r="9" spans="1:13" s="95" customFormat="1" ht="138.75" customHeight="1" hidden="1">
      <c r="A9" s="96"/>
      <c r="B9" s="141"/>
      <c r="C9" s="96"/>
      <c r="D9" s="97"/>
      <c r="E9" s="98"/>
      <c r="F9" s="97"/>
      <c r="G9" s="97"/>
      <c r="H9" s="94"/>
      <c r="I9" s="93"/>
      <c r="J9" s="93"/>
      <c r="K9" s="93"/>
      <c r="L9" s="93" t="s">
        <v>40</v>
      </c>
      <c r="M9" s="324"/>
    </row>
    <row r="10" spans="1:13" s="212" customFormat="1" ht="24" customHeight="1" hidden="1">
      <c r="A10" s="74"/>
      <c r="B10" s="100"/>
      <c r="C10" s="17"/>
      <c r="D10" s="74"/>
      <c r="E10" s="99"/>
      <c r="F10" s="74"/>
      <c r="G10" s="74"/>
      <c r="H10" s="210"/>
      <c r="I10" s="211"/>
      <c r="J10" s="211"/>
      <c r="K10" s="211"/>
      <c r="L10" s="211"/>
      <c r="M10" s="325"/>
    </row>
    <row r="11" spans="1:13" s="15" customFormat="1" ht="89.25" customHeight="1">
      <c r="A11" s="74">
        <v>1</v>
      </c>
      <c r="B11" s="100" t="s">
        <v>96</v>
      </c>
      <c r="C11" s="17" t="s">
        <v>181</v>
      </c>
      <c r="D11" s="17" t="s">
        <v>182</v>
      </c>
      <c r="E11" s="327">
        <f>'2019-2(6.1;6.2;6.3,6.4)'!D14</f>
        <v>3278936.2800000003</v>
      </c>
      <c r="F11" s="327">
        <f>'2019-2(6.1;6.2;6.3,6.4)'!E14</f>
        <v>304982</v>
      </c>
      <c r="G11" s="327">
        <f>E11+F11</f>
        <v>3583918.2800000003</v>
      </c>
      <c r="H11" s="327">
        <f>'2019-2(6.1;6.2;6.3,6.4)'!H14</f>
        <v>8797290</v>
      </c>
      <c r="I11" s="327">
        <f>'2019-2(6.1;6.2;6.3,6.4)'!I14</f>
        <v>8111000</v>
      </c>
      <c r="J11" s="327">
        <f>H11+I11</f>
        <v>16908290</v>
      </c>
      <c r="K11" s="328">
        <f>'2019-2(6.1;6.2;6.3,6.4)'!L14</f>
        <v>10063860</v>
      </c>
      <c r="L11" s="328">
        <f>'2019-2(6.1;6.2;6.3,6.4)'!M14</f>
        <v>3787500</v>
      </c>
      <c r="M11" s="198">
        <f>K11+L11</f>
        <v>13851360</v>
      </c>
    </row>
    <row r="12" spans="1:13" s="42" customFormat="1" ht="15">
      <c r="A12" s="2"/>
      <c r="B12" s="2"/>
      <c r="C12" s="83" t="s">
        <v>331</v>
      </c>
      <c r="D12" s="92"/>
      <c r="E12" s="329">
        <f>E11</f>
        <v>3278936.2800000003</v>
      </c>
      <c r="F12" s="329">
        <f aca="true" t="shared" si="0" ref="F12:M12">F11</f>
        <v>304982</v>
      </c>
      <c r="G12" s="329">
        <f t="shared" si="0"/>
        <v>3583918.2800000003</v>
      </c>
      <c r="H12" s="329">
        <f t="shared" si="0"/>
        <v>8797290</v>
      </c>
      <c r="I12" s="329">
        <f t="shared" si="0"/>
        <v>8111000</v>
      </c>
      <c r="J12" s="329">
        <f t="shared" si="0"/>
        <v>16908290</v>
      </c>
      <c r="K12" s="329">
        <f t="shared" si="0"/>
        <v>10063860</v>
      </c>
      <c r="L12" s="329">
        <f t="shared" si="0"/>
        <v>3787500</v>
      </c>
      <c r="M12" s="329">
        <f t="shared" si="0"/>
        <v>13851360</v>
      </c>
    </row>
    <row r="13" s="42" customFormat="1" ht="15"/>
    <row r="14" spans="1:4" s="15" customFormat="1" ht="15">
      <c r="A14" s="1" t="s">
        <v>335</v>
      </c>
      <c r="B14" s="11" t="s">
        <v>58</v>
      </c>
      <c r="C14" s="1" t="s">
        <v>489</v>
      </c>
      <c r="D14" s="1"/>
    </row>
    <row r="15" spans="9:10" s="15" customFormat="1" ht="17.25" customHeight="1">
      <c r="I15" s="26" t="s">
        <v>70</v>
      </c>
      <c r="J15" s="26"/>
    </row>
    <row r="16" spans="1:12" s="15" customFormat="1" ht="15.75" customHeight="1">
      <c r="A16" s="469" t="s">
        <v>78</v>
      </c>
      <c r="B16" s="469" t="s">
        <v>59</v>
      </c>
      <c r="C16" s="469" t="s">
        <v>409</v>
      </c>
      <c r="D16" s="469" t="s">
        <v>31</v>
      </c>
      <c r="E16" s="437" t="s">
        <v>127</v>
      </c>
      <c r="F16" s="454"/>
      <c r="G16" s="426"/>
      <c r="H16" s="437" t="s">
        <v>345</v>
      </c>
      <c r="I16" s="454"/>
      <c r="J16" s="426"/>
      <c r="K16" s="451"/>
      <c r="L16" s="451"/>
    </row>
    <row r="17" spans="1:12" s="15" customFormat="1" ht="26.25">
      <c r="A17" s="474"/>
      <c r="B17" s="474"/>
      <c r="C17" s="474"/>
      <c r="D17" s="474"/>
      <c r="E17" s="10" t="s">
        <v>3</v>
      </c>
      <c r="F17" s="10" t="s">
        <v>4</v>
      </c>
      <c r="G17" s="10" t="s">
        <v>410</v>
      </c>
      <c r="H17" s="2" t="s">
        <v>3</v>
      </c>
      <c r="I17" s="2" t="s">
        <v>4</v>
      </c>
      <c r="J17" s="2" t="s">
        <v>72</v>
      </c>
      <c r="K17" s="9"/>
      <c r="L17" s="9"/>
    </row>
    <row r="18" spans="1:12" s="15" customFormat="1" ht="15">
      <c r="A18" s="2">
        <v>1</v>
      </c>
      <c r="B18" s="2">
        <v>2</v>
      </c>
      <c r="C18" s="2">
        <v>2</v>
      </c>
      <c r="D18" s="2">
        <v>3</v>
      </c>
      <c r="E18" s="2">
        <v>4</v>
      </c>
      <c r="F18" s="2">
        <v>5</v>
      </c>
      <c r="G18" s="2">
        <v>6</v>
      </c>
      <c r="H18" s="2">
        <v>7</v>
      </c>
      <c r="I18" s="2">
        <v>8</v>
      </c>
      <c r="J18" s="2">
        <v>9</v>
      </c>
      <c r="K18" s="9"/>
      <c r="L18" s="9"/>
    </row>
    <row r="19" spans="1:12" s="15" customFormat="1" ht="15" hidden="1">
      <c r="A19" s="40"/>
      <c r="B19" s="40"/>
      <c r="C19" s="2"/>
      <c r="D19" s="2"/>
      <c r="E19" s="40"/>
      <c r="F19" s="40"/>
      <c r="G19" s="40"/>
      <c r="H19" s="40"/>
      <c r="I19" s="40"/>
      <c r="J19" s="2"/>
      <c r="K19" s="9"/>
      <c r="L19" s="9"/>
    </row>
    <row r="20" spans="1:12" s="15" customFormat="1" ht="75.75" customHeight="1">
      <c r="A20" s="74">
        <v>1</v>
      </c>
      <c r="B20" s="100" t="s">
        <v>96</v>
      </c>
      <c r="C20" s="17" t="s">
        <v>495</v>
      </c>
      <c r="D20" s="17" t="s">
        <v>496</v>
      </c>
      <c r="E20" s="99">
        <f>'2019-2(6.1;6.2;6.3,6.4)'!D46</f>
        <v>10738137.62</v>
      </c>
      <c r="F20" s="99">
        <f>'2019-2(6.1;6.2;6.3,6.4)'!E46</f>
        <v>4041261.5</v>
      </c>
      <c r="G20" s="99">
        <f>E20+F20</f>
        <v>14779399.12</v>
      </c>
      <c r="H20" s="99">
        <f>'2019-2(6.1;6.2;6.3,6.4)'!H46</f>
        <v>11328737.189099997</v>
      </c>
      <c r="I20" s="99">
        <f>'2019-2(6.1;6.2;6.3,6.4)'!I46</f>
        <v>4263530.8825</v>
      </c>
      <c r="J20" s="78">
        <f>H20+I20</f>
        <v>15592268.071599998</v>
      </c>
      <c r="K20" s="9"/>
      <c r="L20" s="9"/>
    </row>
    <row r="21" spans="1:12" s="15" customFormat="1" ht="15">
      <c r="A21" s="2"/>
      <c r="B21" s="2"/>
      <c r="C21" s="83" t="s">
        <v>331</v>
      </c>
      <c r="D21" s="83"/>
      <c r="E21" s="80">
        <f aca="true" t="shared" si="1" ref="E21:J21">E20</f>
        <v>10738137.62</v>
      </c>
      <c r="F21" s="80">
        <f t="shared" si="1"/>
        <v>4041261.5</v>
      </c>
      <c r="G21" s="80">
        <f t="shared" si="1"/>
        <v>14779399.12</v>
      </c>
      <c r="H21" s="80">
        <f t="shared" si="1"/>
        <v>11328737.189099997</v>
      </c>
      <c r="I21" s="80">
        <f t="shared" si="1"/>
        <v>4263530.8825</v>
      </c>
      <c r="J21" s="80">
        <f t="shared" si="1"/>
        <v>15592268.071599998</v>
      </c>
      <c r="K21" s="36"/>
      <c r="L21" s="36"/>
    </row>
    <row r="23" spans="4:8" ht="15">
      <c r="D23" s="13"/>
      <c r="E23" s="13"/>
      <c r="F23" s="13"/>
      <c r="G23" s="13"/>
      <c r="H23" s="13"/>
    </row>
  </sheetData>
  <sheetProtection/>
  <mergeCells count="14">
    <mergeCell ref="E6:G6"/>
    <mergeCell ref="H6:J6"/>
    <mergeCell ref="K6:M6"/>
    <mergeCell ref="H16:J16"/>
    <mergeCell ref="E16:G16"/>
    <mergeCell ref="K16:L16"/>
    <mergeCell ref="A6:A7"/>
    <mergeCell ref="C6:C7"/>
    <mergeCell ref="B6:B7"/>
    <mergeCell ref="D6:D7"/>
    <mergeCell ref="A16:A17"/>
    <mergeCell ref="B16:B17"/>
    <mergeCell ref="C16:C17"/>
    <mergeCell ref="D16:D17"/>
  </mergeCells>
  <printOptions horizontalCentered="1"/>
  <pageMargins left="0" right="0" top="0" bottom="0"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3" tint="-0.24997000396251678"/>
    <pageSetUpPr fitToPage="1"/>
  </sheetPr>
  <dimension ref="A1:N11"/>
  <sheetViews>
    <sheetView view="pageBreakPreview" zoomScale="85" zoomScaleSheetLayoutView="85" zoomScalePageLayoutView="70" workbookViewId="0" topLeftCell="A1">
      <selection activeCell="E56" sqref="E56"/>
    </sheetView>
  </sheetViews>
  <sheetFormatPr defaultColWidth="9.00390625" defaultRowHeight="15.75"/>
  <cols>
    <col min="1" max="1" width="10.50390625" style="321" customWidth="1"/>
    <col min="2" max="2" width="14.75390625" style="321" customWidth="1"/>
    <col min="3" max="3" width="12.00390625" style="321" customWidth="1"/>
    <col min="4" max="13" width="11.25390625" style="321" customWidth="1"/>
    <col min="14" max="14" width="0" style="321" hidden="1" customWidth="1"/>
    <col min="15" max="16384" width="8.75390625" style="321" customWidth="1"/>
  </cols>
  <sheetData>
    <row r="1" spans="1:14" s="219" customFormat="1" ht="15">
      <c r="A1" s="220" t="s">
        <v>60</v>
      </c>
      <c r="B1" s="548" t="s">
        <v>469</v>
      </c>
      <c r="C1" s="548"/>
      <c r="D1" s="548"/>
      <c r="E1" s="548"/>
      <c r="F1" s="548"/>
      <c r="G1" s="548"/>
      <c r="H1" s="548"/>
      <c r="I1" s="548"/>
      <c r="J1" s="548"/>
      <c r="K1" s="548"/>
      <c r="L1" s="548"/>
      <c r="M1" s="548"/>
      <c r="N1" s="548"/>
    </row>
    <row r="2" spans="2:3" s="219" customFormat="1" ht="15">
      <c r="B2" s="221"/>
      <c r="C2" s="221"/>
    </row>
    <row r="3" spans="2:3" s="219" customFormat="1" ht="17.25" customHeight="1">
      <c r="B3" s="221"/>
      <c r="C3" s="221"/>
    </row>
    <row r="4" spans="1:14" s="219" customFormat="1" ht="30" customHeight="1">
      <c r="A4" s="536" t="s">
        <v>412</v>
      </c>
      <c r="B4" s="536" t="s">
        <v>413</v>
      </c>
      <c r="C4" s="536" t="s">
        <v>414</v>
      </c>
      <c r="D4" s="530" t="s">
        <v>338</v>
      </c>
      <c r="E4" s="530"/>
      <c r="F4" s="532" t="s">
        <v>415</v>
      </c>
      <c r="G4" s="533"/>
      <c r="H4" s="530" t="s">
        <v>416</v>
      </c>
      <c r="I4" s="530"/>
      <c r="J4" s="532" t="s">
        <v>417</v>
      </c>
      <c r="K4" s="533"/>
      <c r="L4" s="532" t="s">
        <v>405</v>
      </c>
      <c r="M4" s="540"/>
      <c r="N4" s="330"/>
    </row>
    <row r="5" spans="1:14" s="219" customFormat="1" ht="102.75" customHeight="1">
      <c r="A5" s="539"/>
      <c r="B5" s="539"/>
      <c r="C5" s="539"/>
      <c r="D5" s="226" t="s">
        <v>418</v>
      </c>
      <c r="E5" s="226" t="s">
        <v>419</v>
      </c>
      <c r="F5" s="226" t="s">
        <v>418</v>
      </c>
      <c r="G5" s="226" t="s">
        <v>419</v>
      </c>
      <c r="H5" s="226" t="s">
        <v>418</v>
      </c>
      <c r="I5" s="226" t="s">
        <v>419</v>
      </c>
      <c r="J5" s="226" t="s">
        <v>418</v>
      </c>
      <c r="K5" s="226" t="s">
        <v>419</v>
      </c>
      <c r="L5" s="226" t="s">
        <v>418</v>
      </c>
      <c r="M5" s="226" t="s">
        <v>419</v>
      </c>
      <c r="N5" s="226" t="s">
        <v>43</v>
      </c>
    </row>
    <row r="6" spans="1:14" s="236" customFormat="1" ht="12.75">
      <c r="A6" s="226">
        <v>1</v>
      </c>
      <c r="B6" s="226">
        <v>2</v>
      </c>
      <c r="C6" s="226">
        <v>3</v>
      </c>
      <c r="D6" s="226">
        <v>4</v>
      </c>
      <c r="E6" s="226">
        <v>5</v>
      </c>
      <c r="F6" s="226">
        <v>6</v>
      </c>
      <c r="G6" s="226">
        <v>7</v>
      </c>
      <c r="H6" s="226">
        <v>8</v>
      </c>
      <c r="I6" s="226">
        <v>9</v>
      </c>
      <c r="J6" s="226">
        <v>10</v>
      </c>
      <c r="K6" s="226">
        <v>11</v>
      </c>
      <c r="L6" s="226">
        <v>12</v>
      </c>
      <c r="M6" s="226">
        <v>13</v>
      </c>
      <c r="N6" s="226">
        <v>13</v>
      </c>
    </row>
    <row r="7" spans="1:14" s="236" customFormat="1" ht="18.75" customHeight="1">
      <c r="A7" s="226"/>
      <c r="B7" s="331"/>
      <c r="C7" s="331"/>
      <c r="D7" s="226"/>
      <c r="E7" s="226"/>
      <c r="F7" s="226"/>
      <c r="G7" s="226"/>
      <c r="H7" s="226"/>
      <c r="I7" s="226"/>
      <c r="J7" s="226"/>
      <c r="K7" s="226"/>
      <c r="L7" s="226"/>
      <c r="M7" s="226"/>
      <c r="N7" s="226"/>
    </row>
    <row r="8" spans="1:14" s="219" customFormat="1" ht="15">
      <c r="A8" s="227"/>
      <c r="B8" s="332"/>
      <c r="C8" s="332"/>
      <c r="D8" s="333"/>
      <c r="E8" s="333"/>
      <c r="F8" s="333"/>
      <c r="G8" s="333"/>
      <c r="H8" s="333"/>
      <c r="I8" s="333"/>
      <c r="J8" s="333"/>
      <c r="K8" s="333"/>
      <c r="L8" s="333"/>
      <c r="M8" s="333"/>
      <c r="N8" s="333" t="s">
        <v>40</v>
      </c>
    </row>
    <row r="9" s="219" customFormat="1" ht="15"/>
    <row r="10" spans="1:14" s="219" customFormat="1" ht="36.75" customHeight="1">
      <c r="A10" s="334" t="s">
        <v>61</v>
      </c>
      <c r="B10" s="546" t="s">
        <v>420</v>
      </c>
      <c r="C10" s="546"/>
      <c r="D10" s="546"/>
      <c r="E10" s="546"/>
      <c r="F10" s="546"/>
      <c r="G10" s="546"/>
      <c r="H10" s="546"/>
      <c r="I10" s="546"/>
      <c r="J10" s="546"/>
      <c r="K10" s="546"/>
      <c r="L10" s="546"/>
      <c r="M10" s="546"/>
      <c r="N10" s="546"/>
    </row>
    <row r="11" spans="1:14" ht="294" customHeight="1">
      <c r="A11" s="335"/>
      <c r="B11" s="547" t="s">
        <v>497</v>
      </c>
      <c r="C11" s="547"/>
      <c r="D11" s="547"/>
      <c r="E11" s="547"/>
      <c r="F11" s="547"/>
      <c r="G11" s="547"/>
      <c r="H11" s="547"/>
      <c r="I11" s="547"/>
      <c r="J11" s="547"/>
      <c r="K11" s="547"/>
      <c r="L11" s="547"/>
      <c r="M11" s="547"/>
      <c r="N11" s="547"/>
    </row>
  </sheetData>
  <sheetProtection/>
  <mergeCells count="11">
    <mergeCell ref="H4:I4"/>
    <mergeCell ref="J4:K4"/>
    <mergeCell ref="L4:M4"/>
    <mergeCell ref="B10:N10"/>
    <mergeCell ref="B11:N11"/>
    <mergeCell ref="B1:N1"/>
    <mergeCell ref="A4:A5"/>
    <mergeCell ref="B4:B5"/>
    <mergeCell ref="C4:C5"/>
    <mergeCell ref="D4:E4"/>
    <mergeCell ref="F4:G4"/>
  </mergeCells>
  <printOptions horizontalCentered="1"/>
  <pageMargins left="0.2362204724409449" right="0.15748031496062992" top="0.1968503937007874" bottom="0.4330708661417323" header="0.2755905511811024" footer="0.2755905511811024"/>
  <pageSetup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theme="3" tint="-0.24997000396251678"/>
    <pageSetUpPr fitToPage="1"/>
  </sheetPr>
  <dimension ref="A1:M54"/>
  <sheetViews>
    <sheetView view="pageBreakPreview" zoomScale="85" zoomScaleSheetLayoutView="85" zoomScalePageLayoutView="0" workbookViewId="0" topLeftCell="A1">
      <selection activeCell="E56" sqref="E56"/>
    </sheetView>
  </sheetViews>
  <sheetFormatPr defaultColWidth="9.00390625" defaultRowHeight="15.75"/>
  <cols>
    <col min="1" max="1" width="8.75390625" style="15" customWidth="1"/>
    <col min="2" max="2" width="2.125" style="15" customWidth="1"/>
    <col min="3" max="3" width="50.375" style="15" customWidth="1"/>
    <col min="4" max="4" width="10.625" style="15" customWidth="1"/>
    <col min="5" max="5" width="12.00390625" style="15" customWidth="1"/>
    <col min="6" max="6" width="11.25390625" style="15" customWidth="1"/>
    <col min="7" max="7" width="11.625" style="15" customWidth="1"/>
    <col min="8" max="8" width="12.50390625" style="15" customWidth="1"/>
    <col min="9" max="9" width="11.25390625" style="15" customWidth="1"/>
    <col min="10" max="10" width="12.75390625" style="15" customWidth="1"/>
    <col min="11" max="11" width="9.875" style="15" customWidth="1"/>
    <col min="12" max="12" width="10.00390625" style="15" customWidth="1"/>
    <col min="13" max="13" width="10.50390625" style="15" customWidth="1"/>
    <col min="14" max="16384" width="8.75390625" style="15" customWidth="1"/>
  </cols>
  <sheetData>
    <row r="1" ht="15">
      <c r="B1" s="1"/>
    </row>
    <row r="2" spans="1:11" ht="19.5" customHeight="1">
      <c r="A2" s="132" t="s">
        <v>62</v>
      </c>
      <c r="B2" s="549" t="s">
        <v>135</v>
      </c>
      <c r="C2" s="549"/>
      <c r="D2" s="131"/>
      <c r="E2" s="131"/>
      <c r="F2" s="131"/>
      <c r="G2" s="131"/>
      <c r="H2" s="131"/>
      <c r="I2" s="131"/>
      <c r="J2" s="131"/>
      <c r="K2" s="131"/>
    </row>
    <row r="3" spans="2:9" ht="12" customHeight="1">
      <c r="B3" s="11"/>
      <c r="C3" s="1"/>
      <c r="D3" s="1"/>
      <c r="E3" s="1"/>
      <c r="F3" s="1"/>
      <c r="G3" s="1"/>
      <c r="H3" s="1"/>
      <c r="I3" s="1"/>
    </row>
    <row r="4" spans="1:8" ht="15">
      <c r="A4" s="11" t="s">
        <v>334</v>
      </c>
      <c r="B4" s="1" t="s">
        <v>516</v>
      </c>
      <c r="D4" s="1"/>
      <c r="E4" s="1"/>
      <c r="F4" s="1"/>
      <c r="G4" s="1"/>
      <c r="H4" s="1"/>
    </row>
    <row r="5" ht="15.75" customHeight="1">
      <c r="K5" s="26" t="s">
        <v>70</v>
      </c>
    </row>
    <row r="6" spans="1:11" ht="39.75" customHeight="1">
      <c r="A6" s="552" t="s">
        <v>421</v>
      </c>
      <c r="B6" s="452"/>
      <c r="C6" s="469" t="s">
        <v>84</v>
      </c>
      <c r="D6" s="469" t="s">
        <v>11</v>
      </c>
      <c r="E6" s="469" t="s">
        <v>79</v>
      </c>
      <c r="F6" s="469" t="s">
        <v>422</v>
      </c>
      <c r="G6" s="469" t="s">
        <v>423</v>
      </c>
      <c r="H6" s="469" t="s">
        <v>425</v>
      </c>
      <c r="I6" s="437" t="s">
        <v>101</v>
      </c>
      <c r="J6" s="454"/>
      <c r="K6" s="469" t="s">
        <v>424</v>
      </c>
    </row>
    <row r="7" spans="1:11" ht="76.5" customHeight="1">
      <c r="A7" s="551"/>
      <c r="B7" s="453"/>
      <c r="C7" s="474"/>
      <c r="D7" s="474"/>
      <c r="E7" s="474"/>
      <c r="F7" s="474"/>
      <c r="G7" s="474"/>
      <c r="H7" s="474" t="s">
        <v>80</v>
      </c>
      <c r="I7" s="10" t="s">
        <v>12</v>
      </c>
      <c r="J7" s="10" t="s">
        <v>13</v>
      </c>
      <c r="K7" s="474"/>
    </row>
    <row r="8" spans="1:11" ht="15">
      <c r="A8" s="553">
        <v>1</v>
      </c>
      <c r="B8" s="554"/>
      <c r="C8" s="2">
        <v>2</v>
      </c>
      <c r="D8" s="67">
        <v>3</v>
      </c>
      <c r="E8" s="2">
        <v>4</v>
      </c>
      <c r="F8" s="67">
        <v>5</v>
      </c>
      <c r="G8" s="2">
        <v>6</v>
      </c>
      <c r="H8" s="67">
        <v>7</v>
      </c>
      <c r="I8" s="2">
        <v>8</v>
      </c>
      <c r="J8" s="67">
        <v>9</v>
      </c>
      <c r="K8" s="2">
        <v>10</v>
      </c>
    </row>
    <row r="9" spans="1:11" ht="15" hidden="1">
      <c r="A9" s="73"/>
      <c r="B9" s="2"/>
      <c r="C9" s="83" t="s">
        <v>74</v>
      </c>
      <c r="D9" s="2"/>
      <c r="E9" s="2"/>
      <c r="F9" s="2"/>
      <c r="G9" s="2"/>
      <c r="H9" s="2"/>
      <c r="I9" s="2"/>
      <c r="J9" s="2"/>
      <c r="K9" s="2"/>
    </row>
    <row r="10" spans="1:11" ht="52.5" hidden="1">
      <c r="A10" s="73"/>
      <c r="B10" s="23" t="s">
        <v>38</v>
      </c>
      <c r="C10" s="4" t="s">
        <v>91</v>
      </c>
      <c r="D10" s="103"/>
      <c r="E10" s="77"/>
      <c r="F10" s="104"/>
      <c r="G10" s="104"/>
      <c r="H10" s="104"/>
      <c r="I10" s="104"/>
      <c r="J10" s="104"/>
      <c r="K10" s="103">
        <f>E10+G10</f>
        <v>0</v>
      </c>
    </row>
    <row r="11" spans="1:11" ht="15" hidden="1">
      <c r="A11" s="73"/>
      <c r="B11" s="2">
        <v>2120</v>
      </c>
      <c r="C11" s="4" t="s">
        <v>92</v>
      </c>
      <c r="D11" s="103"/>
      <c r="E11" s="77"/>
      <c r="F11" s="104"/>
      <c r="G11" s="104"/>
      <c r="H11" s="104"/>
      <c r="I11" s="104"/>
      <c r="J11" s="104"/>
      <c r="K11" s="103">
        <f>E11+G11</f>
        <v>0</v>
      </c>
    </row>
    <row r="12" spans="1:11" ht="15" hidden="1">
      <c r="A12" s="73"/>
      <c r="B12" s="2">
        <v>2210</v>
      </c>
      <c r="C12" s="4" t="s">
        <v>93</v>
      </c>
      <c r="D12" s="103"/>
      <c r="E12" s="77"/>
      <c r="F12" s="104"/>
      <c r="G12" s="103"/>
      <c r="H12" s="78">
        <f>G12-F12</f>
        <v>0</v>
      </c>
      <c r="I12" s="78">
        <f>H12</f>
        <v>0</v>
      </c>
      <c r="J12" s="104"/>
      <c r="K12" s="103">
        <f>E12+G12</f>
        <v>0</v>
      </c>
    </row>
    <row r="13" spans="1:11" ht="15" hidden="1">
      <c r="A13" s="73"/>
      <c r="B13" s="2">
        <v>2220</v>
      </c>
      <c r="C13" s="4" t="s">
        <v>36</v>
      </c>
      <c r="D13" s="78"/>
      <c r="E13" s="77"/>
      <c r="F13" s="102"/>
      <c r="G13" s="78"/>
      <c r="H13" s="78">
        <f>G13-F13</f>
        <v>0</v>
      </c>
      <c r="I13" s="78">
        <f>H13</f>
        <v>0</v>
      </c>
      <c r="J13" s="102"/>
      <c r="K13" s="78"/>
    </row>
    <row r="14" spans="1:11" ht="15" hidden="1">
      <c r="A14" s="73"/>
      <c r="B14" s="2">
        <v>2230</v>
      </c>
      <c r="C14" s="4" t="s">
        <v>37</v>
      </c>
      <c r="D14" s="78"/>
      <c r="E14" s="77"/>
      <c r="F14" s="102"/>
      <c r="G14" s="78"/>
      <c r="H14" s="78">
        <f>G14-F14</f>
        <v>0</v>
      </c>
      <c r="I14" s="78">
        <f>H14</f>
        <v>0</v>
      </c>
      <c r="J14" s="102"/>
      <c r="K14" s="78"/>
    </row>
    <row r="15" spans="1:11" ht="24" customHeight="1">
      <c r="A15" s="555"/>
      <c r="B15" s="556"/>
      <c r="C15" s="185" t="s">
        <v>158</v>
      </c>
      <c r="D15" s="78"/>
      <c r="E15" s="77"/>
      <c r="F15" s="102"/>
      <c r="G15" s="78"/>
      <c r="H15" s="78"/>
      <c r="I15" s="78"/>
      <c r="J15" s="102"/>
      <c r="K15" s="103"/>
    </row>
    <row r="16" spans="1:11" ht="15">
      <c r="A16" s="437">
        <v>2210</v>
      </c>
      <c r="B16" s="426"/>
      <c r="C16" s="4" t="s">
        <v>93</v>
      </c>
      <c r="D16" s="78">
        <v>35000</v>
      </c>
      <c r="E16" s="77">
        <f>'2019-2(6.1;6.2;6.3,6.4)'!D7</f>
        <v>35000</v>
      </c>
      <c r="F16" s="78"/>
      <c r="G16" s="102"/>
      <c r="H16" s="102"/>
      <c r="I16" s="102"/>
      <c r="J16" s="102"/>
      <c r="K16" s="103">
        <f>E16+G16</f>
        <v>35000</v>
      </c>
    </row>
    <row r="17" spans="1:11" ht="15">
      <c r="A17" s="437">
        <v>2240</v>
      </c>
      <c r="B17" s="426"/>
      <c r="C17" s="4" t="s">
        <v>149</v>
      </c>
      <c r="D17" s="78">
        <f>178000</f>
        <v>178000</v>
      </c>
      <c r="E17" s="77">
        <f>'2019-2(6.1;6.2;6.3,6.4)'!D8</f>
        <v>162608.58</v>
      </c>
      <c r="F17" s="102"/>
      <c r="G17" s="102"/>
      <c r="H17" s="102"/>
      <c r="I17" s="102"/>
      <c r="J17" s="102"/>
      <c r="K17" s="103">
        <f>E17+G17</f>
        <v>162608.58</v>
      </c>
    </row>
    <row r="18" spans="1:11" ht="26.25">
      <c r="A18" s="437">
        <v>2610</v>
      </c>
      <c r="B18" s="426"/>
      <c r="C18" s="4" t="s">
        <v>155</v>
      </c>
      <c r="D18" s="78">
        <f>4101800</f>
        <v>4101800</v>
      </c>
      <c r="E18" s="77">
        <f>'2019-2(6.1;6.2;6.3,6.4)'!D9</f>
        <v>3081327.7</v>
      </c>
      <c r="F18" s="102"/>
      <c r="G18" s="102"/>
      <c r="H18" s="102"/>
      <c r="I18" s="102"/>
      <c r="J18" s="102"/>
      <c r="K18" s="338">
        <f>E18+G18</f>
        <v>3081327.7</v>
      </c>
    </row>
    <row r="19" spans="1:11" ht="15">
      <c r="A19" s="557"/>
      <c r="B19" s="558"/>
      <c r="C19" s="106" t="s">
        <v>331</v>
      </c>
      <c r="D19" s="79">
        <f>D16+D17+D18</f>
        <v>4314800</v>
      </c>
      <c r="E19" s="79">
        <f>E16+E17+E18</f>
        <v>3278936.2800000003</v>
      </c>
      <c r="F19" s="79">
        <f aca="true" t="shared" si="0" ref="F19:K19">F16+F17+F18</f>
        <v>0</v>
      </c>
      <c r="G19" s="79">
        <f t="shared" si="0"/>
        <v>0</v>
      </c>
      <c r="H19" s="79">
        <f t="shared" si="0"/>
        <v>0</v>
      </c>
      <c r="I19" s="79">
        <f t="shared" si="0"/>
        <v>0</v>
      </c>
      <c r="J19" s="79">
        <f t="shared" si="0"/>
        <v>0</v>
      </c>
      <c r="K19" s="79">
        <f t="shared" si="0"/>
        <v>3278936.2800000003</v>
      </c>
    </row>
    <row r="21" spans="1:8" ht="15">
      <c r="A21" s="11" t="s">
        <v>335</v>
      </c>
      <c r="B21" s="1" t="s">
        <v>515</v>
      </c>
      <c r="D21" s="1"/>
      <c r="E21" s="1"/>
      <c r="F21" s="1"/>
      <c r="G21" s="1"/>
      <c r="H21" s="1"/>
    </row>
    <row r="22" ht="12.75" customHeight="1">
      <c r="M22" s="26" t="s">
        <v>70</v>
      </c>
    </row>
    <row r="23" spans="1:13" ht="15.75" customHeight="1">
      <c r="A23" s="552" t="s">
        <v>421</v>
      </c>
      <c r="B23" s="452"/>
      <c r="C23" s="469" t="s">
        <v>84</v>
      </c>
      <c r="D23" s="469" t="s">
        <v>100</v>
      </c>
      <c r="E23" s="469"/>
      <c r="F23" s="469"/>
      <c r="G23" s="469"/>
      <c r="H23" s="469"/>
      <c r="I23" s="469" t="s">
        <v>110</v>
      </c>
      <c r="J23" s="469"/>
      <c r="K23" s="469"/>
      <c r="L23" s="469"/>
      <c r="M23" s="469"/>
    </row>
    <row r="24" spans="1:13" ht="57.75" customHeight="1">
      <c r="A24" s="550"/>
      <c r="B24" s="559"/>
      <c r="C24" s="550"/>
      <c r="D24" s="438" t="s">
        <v>81</v>
      </c>
      <c r="E24" s="438" t="s">
        <v>426</v>
      </c>
      <c r="F24" s="438" t="s">
        <v>82</v>
      </c>
      <c r="G24" s="438"/>
      <c r="H24" s="469" t="s">
        <v>428</v>
      </c>
      <c r="I24" s="438" t="s">
        <v>83</v>
      </c>
      <c r="J24" s="469" t="s">
        <v>427</v>
      </c>
      <c r="K24" s="438" t="s">
        <v>113</v>
      </c>
      <c r="L24" s="438"/>
      <c r="M24" s="469" t="s">
        <v>429</v>
      </c>
    </row>
    <row r="25" spans="1:13" ht="65.25" customHeight="1">
      <c r="A25" s="551"/>
      <c r="B25" s="453"/>
      <c r="C25" s="551"/>
      <c r="D25" s="438"/>
      <c r="E25" s="438"/>
      <c r="F25" s="2" t="s">
        <v>12</v>
      </c>
      <c r="G25" s="2" t="s">
        <v>13</v>
      </c>
      <c r="H25" s="474"/>
      <c r="I25" s="438"/>
      <c r="J25" s="474"/>
      <c r="K25" s="2" t="s">
        <v>12</v>
      </c>
      <c r="L25" s="2" t="s">
        <v>13</v>
      </c>
      <c r="M25" s="474"/>
    </row>
    <row r="26" spans="1:13" s="3" customFormat="1" ht="12.75">
      <c r="A26" s="553"/>
      <c r="B26" s="554"/>
      <c r="C26" s="41">
        <v>3</v>
      </c>
      <c r="D26" s="67">
        <v>4</v>
      </c>
      <c r="E26" s="2">
        <v>5</v>
      </c>
      <c r="F26" s="41">
        <v>6</v>
      </c>
      <c r="G26" s="67">
        <v>7</v>
      </c>
      <c r="H26" s="2">
        <v>8</v>
      </c>
      <c r="I26" s="41">
        <v>9</v>
      </c>
      <c r="J26" s="67">
        <v>10</v>
      </c>
      <c r="K26" s="2">
        <v>11</v>
      </c>
      <c r="L26" s="41">
        <v>12</v>
      </c>
      <c r="M26" s="67">
        <v>13</v>
      </c>
    </row>
    <row r="27" spans="1:13" ht="15" hidden="1">
      <c r="A27" s="73"/>
      <c r="B27" s="2"/>
      <c r="C27" s="83" t="s">
        <v>74</v>
      </c>
      <c r="D27" s="107"/>
      <c r="E27" s="107"/>
      <c r="F27" s="107"/>
      <c r="G27" s="107"/>
      <c r="H27" s="107"/>
      <c r="I27" s="107"/>
      <c r="J27" s="107"/>
      <c r="K27" s="107"/>
      <c r="L27" s="107"/>
      <c r="M27" s="107"/>
    </row>
    <row r="28" spans="1:13" ht="15" hidden="1">
      <c r="A28" s="73"/>
      <c r="B28" s="23"/>
      <c r="C28" s="4" t="s">
        <v>91</v>
      </c>
      <c r="D28" s="77"/>
      <c r="E28" s="79"/>
      <c r="F28" s="79"/>
      <c r="G28" s="79"/>
      <c r="H28" s="103">
        <f>D28-E28</f>
        <v>0</v>
      </c>
      <c r="I28" s="77"/>
      <c r="J28" s="79"/>
      <c r="K28" s="103"/>
      <c r="L28" s="79"/>
      <c r="M28" s="103">
        <f>I28-J28</f>
        <v>0</v>
      </c>
    </row>
    <row r="29" spans="1:13" ht="15" hidden="1">
      <c r="A29" s="73"/>
      <c r="B29" s="2"/>
      <c r="C29" s="4" t="s">
        <v>92</v>
      </c>
      <c r="D29" s="77"/>
      <c r="E29" s="79"/>
      <c r="F29" s="79"/>
      <c r="G29" s="79"/>
      <c r="H29" s="103">
        <f>D29-E29</f>
        <v>0</v>
      </c>
      <c r="I29" s="77"/>
      <c r="J29" s="79"/>
      <c r="K29" s="103"/>
      <c r="L29" s="79"/>
      <c r="M29" s="103">
        <f>I29-J29</f>
        <v>0</v>
      </c>
    </row>
    <row r="30" spans="1:13" ht="15" hidden="1">
      <c r="A30" s="73"/>
      <c r="B30" s="2"/>
      <c r="C30" s="4" t="s">
        <v>93</v>
      </c>
      <c r="D30" s="77"/>
      <c r="E30" s="103"/>
      <c r="F30" s="78">
        <f>E30</f>
        <v>0</v>
      </c>
      <c r="G30" s="79"/>
      <c r="H30" s="103">
        <f>D30-E30</f>
        <v>0</v>
      </c>
      <c r="I30" s="77"/>
      <c r="J30" s="78"/>
      <c r="K30" s="103">
        <f>J30</f>
        <v>0</v>
      </c>
      <c r="L30" s="79"/>
      <c r="M30" s="103">
        <f>I30-J30</f>
        <v>0</v>
      </c>
    </row>
    <row r="31" spans="1:13" ht="15" hidden="1">
      <c r="A31" s="73"/>
      <c r="B31" s="2"/>
      <c r="C31" s="4" t="s">
        <v>36</v>
      </c>
      <c r="D31" s="77"/>
      <c r="E31" s="78"/>
      <c r="F31" s="78">
        <f>E31</f>
        <v>0</v>
      </c>
      <c r="G31" s="78"/>
      <c r="H31" s="78"/>
      <c r="I31" s="77"/>
      <c r="J31" s="78"/>
      <c r="K31" s="103">
        <f>J31</f>
        <v>0</v>
      </c>
      <c r="L31" s="78"/>
      <c r="M31" s="78"/>
    </row>
    <row r="32" spans="1:13" ht="15" hidden="1">
      <c r="A32" s="73"/>
      <c r="B32" s="2"/>
      <c r="C32" s="4" t="s">
        <v>37</v>
      </c>
      <c r="D32" s="77"/>
      <c r="E32" s="78"/>
      <c r="F32" s="78">
        <f>E32</f>
        <v>0</v>
      </c>
      <c r="G32" s="78"/>
      <c r="H32" s="78"/>
      <c r="I32" s="77"/>
      <c r="J32" s="78"/>
      <c r="K32" s="103">
        <f>J32</f>
        <v>0</v>
      </c>
      <c r="L32" s="78"/>
      <c r="M32" s="78"/>
    </row>
    <row r="33" spans="1:13" ht="27">
      <c r="A33" s="555"/>
      <c r="B33" s="556"/>
      <c r="C33" s="185" t="s">
        <v>158</v>
      </c>
      <c r="D33" s="78"/>
      <c r="E33" s="77"/>
      <c r="F33" s="102"/>
      <c r="G33" s="78"/>
      <c r="H33" s="78"/>
      <c r="I33" s="78"/>
      <c r="J33" s="102"/>
      <c r="K33" s="103"/>
      <c r="L33" s="73"/>
      <c r="M33" s="73"/>
    </row>
    <row r="34" spans="1:13" ht="15">
      <c r="A34" s="560" t="s">
        <v>430</v>
      </c>
      <c r="B34" s="561"/>
      <c r="C34" s="4" t="s">
        <v>93</v>
      </c>
      <c r="D34" s="78">
        <f>'2019-2(6.1;6.2;6.3,6.4)'!H7</f>
        <v>1044300</v>
      </c>
      <c r="E34" s="77"/>
      <c r="F34" s="102"/>
      <c r="G34" s="102"/>
      <c r="H34" s="78">
        <f>D34</f>
        <v>1044300</v>
      </c>
      <c r="I34" s="78">
        <f>'2019-2(6.1;6.2;6.3,6.4)'!L7</f>
        <v>478000</v>
      </c>
      <c r="J34" s="78"/>
      <c r="K34" s="103"/>
      <c r="L34" s="188"/>
      <c r="M34" s="148">
        <f>I34</f>
        <v>478000</v>
      </c>
    </row>
    <row r="35" spans="1:13" ht="15">
      <c r="A35" s="560" t="s">
        <v>431</v>
      </c>
      <c r="B35" s="561"/>
      <c r="C35" s="4" t="s">
        <v>149</v>
      </c>
      <c r="D35" s="78">
        <f>'2019-2(6.1;6.2;6.3,6.4)'!H8</f>
        <v>7752990</v>
      </c>
      <c r="E35" s="77"/>
      <c r="F35" s="102"/>
      <c r="G35" s="102"/>
      <c r="H35" s="78">
        <f>D35</f>
        <v>7752990</v>
      </c>
      <c r="I35" s="78">
        <f>'2019-2(6.1;6.2;6.3,6.4)'!L8</f>
        <v>9585860</v>
      </c>
      <c r="J35" s="102"/>
      <c r="K35" s="103"/>
      <c r="L35" s="73"/>
      <c r="M35" s="136">
        <f>I35</f>
        <v>9585860</v>
      </c>
    </row>
    <row r="36" spans="1:13" ht="26.25">
      <c r="A36" s="560" t="s">
        <v>432</v>
      </c>
      <c r="B36" s="561"/>
      <c r="C36" s="4" t="s">
        <v>155</v>
      </c>
      <c r="D36" s="78">
        <f>'2019-2(6.1;6.2;6.3,6.4)'!H9</f>
        <v>0</v>
      </c>
      <c r="E36" s="77"/>
      <c r="F36" s="102"/>
      <c r="G36" s="102"/>
      <c r="H36" s="78">
        <f>D36</f>
        <v>0</v>
      </c>
      <c r="I36" s="78"/>
      <c r="J36" s="102"/>
      <c r="K36" s="103"/>
      <c r="L36" s="73"/>
      <c r="M36" s="136"/>
    </row>
    <row r="37" spans="1:13" ht="15">
      <c r="A37" s="555"/>
      <c r="B37" s="556"/>
      <c r="C37" s="106" t="s">
        <v>331</v>
      </c>
      <c r="D37" s="79">
        <f>D34+D35+D36</f>
        <v>8797290</v>
      </c>
      <c r="E37" s="79">
        <f aca="true" t="shared" si="1" ref="E37:M37">E34+E35</f>
        <v>0</v>
      </c>
      <c r="F37" s="79">
        <f t="shared" si="1"/>
        <v>0</v>
      </c>
      <c r="G37" s="79">
        <f t="shared" si="1"/>
        <v>0</v>
      </c>
      <c r="H37" s="79">
        <f>H34+H35+H36</f>
        <v>8797290</v>
      </c>
      <c r="I37" s="79">
        <f t="shared" si="1"/>
        <v>10063860</v>
      </c>
      <c r="J37" s="79">
        <f t="shared" si="1"/>
        <v>0</v>
      </c>
      <c r="K37" s="79">
        <f t="shared" si="1"/>
        <v>0</v>
      </c>
      <c r="L37" s="79">
        <f t="shared" si="1"/>
        <v>0</v>
      </c>
      <c r="M37" s="79">
        <f t="shared" si="1"/>
        <v>10063860</v>
      </c>
    </row>
    <row r="39" spans="1:8" ht="15">
      <c r="A39" s="11" t="s">
        <v>337</v>
      </c>
      <c r="B39" s="1" t="s">
        <v>514</v>
      </c>
      <c r="D39" s="1"/>
      <c r="E39" s="1"/>
      <c r="F39" s="1"/>
      <c r="G39" s="1"/>
      <c r="H39" s="1"/>
    </row>
    <row r="40" ht="6" customHeight="1"/>
    <row r="41" spans="1:11" ht="123.75" customHeight="1">
      <c r="A41" s="437" t="s">
        <v>421</v>
      </c>
      <c r="B41" s="426"/>
      <c r="C41" s="2" t="s">
        <v>84</v>
      </c>
      <c r="D41" s="40" t="s">
        <v>115</v>
      </c>
      <c r="E41" s="2" t="s">
        <v>79</v>
      </c>
      <c r="F41" s="40" t="s">
        <v>136</v>
      </c>
      <c r="G41" s="40" t="s">
        <v>433</v>
      </c>
      <c r="H41" s="40" t="s">
        <v>434</v>
      </c>
      <c r="I41" s="2" t="s">
        <v>33</v>
      </c>
      <c r="J41" s="2" t="s">
        <v>114</v>
      </c>
      <c r="K41" s="9"/>
    </row>
    <row r="42" spans="1:11" ht="15">
      <c r="A42" s="553">
        <v>1</v>
      </c>
      <c r="B42" s="554"/>
      <c r="C42" s="2">
        <v>2</v>
      </c>
      <c r="D42" s="2">
        <v>3</v>
      </c>
      <c r="E42" s="2">
        <v>4</v>
      </c>
      <c r="F42" s="2">
        <v>5</v>
      </c>
      <c r="G42" s="2">
        <v>6</v>
      </c>
      <c r="H42" s="2">
        <v>7</v>
      </c>
      <c r="I42" s="2">
        <v>8</v>
      </c>
      <c r="J42" s="2">
        <v>9</v>
      </c>
      <c r="K42" s="9"/>
    </row>
    <row r="43" spans="1:11" ht="15.75" customHeight="1" hidden="1">
      <c r="A43" s="73"/>
      <c r="B43" s="2"/>
      <c r="C43" s="83" t="s">
        <v>74</v>
      </c>
      <c r="D43" s="2"/>
      <c r="E43" s="2"/>
      <c r="F43" s="2"/>
      <c r="G43" s="2"/>
      <c r="H43" s="2"/>
      <c r="I43" s="2"/>
      <c r="J43" s="2"/>
      <c r="K43" s="9"/>
    </row>
    <row r="44" spans="1:11" ht="52.5" hidden="1">
      <c r="A44" s="73"/>
      <c r="B44" s="23" t="s">
        <v>38</v>
      </c>
      <c r="C44" s="4" t="s">
        <v>91</v>
      </c>
      <c r="D44" s="103"/>
      <c r="E44" s="77"/>
      <c r="F44" s="104"/>
      <c r="G44" s="104"/>
      <c r="H44" s="104"/>
      <c r="I44" s="104"/>
      <c r="J44" s="104"/>
      <c r="K44" s="9"/>
    </row>
    <row r="45" spans="1:11" ht="15" hidden="1">
      <c r="A45" s="73"/>
      <c r="B45" s="2">
        <v>2120</v>
      </c>
      <c r="C45" s="4" t="s">
        <v>92</v>
      </c>
      <c r="D45" s="103"/>
      <c r="E45" s="77"/>
      <c r="F45" s="104"/>
      <c r="G45" s="104"/>
      <c r="H45" s="104"/>
      <c r="I45" s="104"/>
      <c r="J45" s="104"/>
      <c r="K45" s="9"/>
    </row>
    <row r="46" spans="1:11" ht="15" hidden="1">
      <c r="A46" s="73"/>
      <c r="B46" s="2">
        <v>2210</v>
      </c>
      <c r="C46" s="4" t="s">
        <v>93</v>
      </c>
      <c r="D46" s="103"/>
      <c r="E46" s="77"/>
      <c r="F46" s="104"/>
      <c r="G46" s="104"/>
      <c r="H46" s="104"/>
      <c r="I46" s="104"/>
      <c r="J46" s="104"/>
      <c r="K46" s="9"/>
    </row>
    <row r="47" spans="1:11" ht="15" hidden="1">
      <c r="A47" s="73"/>
      <c r="B47" s="2">
        <v>2220</v>
      </c>
      <c r="C47" s="4" t="s">
        <v>36</v>
      </c>
      <c r="D47" s="78"/>
      <c r="E47" s="77"/>
      <c r="F47" s="102"/>
      <c r="G47" s="102"/>
      <c r="H47" s="102"/>
      <c r="I47" s="102"/>
      <c r="J47" s="102"/>
      <c r="K47" s="9"/>
    </row>
    <row r="48" spans="1:11" ht="15" hidden="1">
      <c r="A48" s="73"/>
      <c r="B48" s="2">
        <v>2230</v>
      </c>
      <c r="C48" s="4" t="s">
        <v>37</v>
      </c>
      <c r="D48" s="78"/>
      <c r="E48" s="77"/>
      <c r="F48" s="102"/>
      <c r="G48" s="102"/>
      <c r="H48" s="102"/>
      <c r="I48" s="102"/>
      <c r="J48" s="102"/>
      <c r="K48" s="9"/>
    </row>
    <row r="49" spans="1:11" ht="15" hidden="1">
      <c r="A49" s="73"/>
      <c r="B49" s="133"/>
      <c r="C49" s="133" t="s">
        <v>74</v>
      </c>
      <c r="D49" s="78"/>
      <c r="E49" s="77"/>
      <c r="F49" s="102"/>
      <c r="G49" s="102"/>
      <c r="H49" s="102"/>
      <c r="I49" s="102"/>
      <c r="J49" s="102"/>
      <c r="K49" s="9"/>
    </row>
    <row r="50" spans="1:10" ht="27">
      <c r="A50" s="555"/>
      <c r="B50" s="556"/>
      <c r="C50" s="185" t="s">
        <v>158</v>
      </c>
      <c r="D50" s="78"/>
      <c r="E50" s="77"/>
      <c r="F50" s="102"/>
      <c r="G50" s="102"/>
      <c r="H50" s="102"/>
      <c r="I50" s="102"/>
      <c r="J50" s="102"/>
    </row>
    <row r="51" spans="1:10" ht="15">
      <c r="A51" s="437">
        <v>2210</v>
      </c>
      <c r="B51" s="426"/>
      <c r="C51" s="4" t="s">
        <v>93</v>
      </c>
      <c r="D51" s="78">
        <f aca="true" t="shared" si="2" ref="D51:E53">D16</f>
        <v>35000</v>
      </c>
      <c r="E51" s="77">
        <f t="shared" si="2"/>
        <v>35000</v>
      </c>
      <c r="F51" s="78"/>
      <c r="G51" s="104"/>
      <c r="H51" s="104"/>
      <c r="I51" s="104"/>
      <c r="J51" s="104"/>
    </row>
    <row r="52" spans="1:10" ht="15">
      <c r="A52" s="437">
        <v>2240</v>
      </c>
      <c r="B52" s="426"/>
      <c r="C52" s="4" t="s">
        <v>149</v>
      </c>
      <c r="D52" s="78">
        <f t="shared" si="2"/>
        <v>178000</v>
      </c>
      <c r="E52" s="77">
        <f t="shared" si="2"/>
        <v>162608.58</v>
      </c>
      <c r="F52" s="102"/>
      <c r="G52" s="102"/>
      <c r="H52" s="102"/>
      <c r="I52" s="102"/>
      <c r="J52" s="102"/>
    </row>
    <row r="53" spans="1:10" ht="26.25">
      <c r="A53" s="437">
        <v>2610</v>
      </c>
      <c r="B53" s="426"/>
      <c r="C53" s="4" t="s">
        <v>155</v>
      </c>
      <c r="D53" s="78">
        <f t="shared" si="2"/>
        <v>4101800</v>
      </c>
      <c r="E53" s="77">
        <f t="shared" si="2"/>
        <v>3081327.7</v>
      </c>
      <c r="F53" s="102"/>
      <c r="G53" s="102"/>
      <c r="H53" s="102"/>
      <c r="I53" s="102"/>
      <c r="J53" s="102"/>
    </row>
    <row r="54" spans="1:10" ht="15">
      <c r="A54" s="557"/>
      <c r="B54" s="558"/>
      <c r="C54" s="106" t="s">
        <v>331</v>
      </c>
      <c r="D54" s="79">
        <f>D51+D52+D53</f>
        <v>4314800</v>
      </c>
      <c r="E54" s="79">
        <f>E51+E52+E53</f>
        <v>3278936.2800000003</v>
      </c>
      <c r="F54" s="79"/>
      <c r="G54" s="79"/>
      <c r="H54" s="79"/>
      <c r="I54" s="105"/>
      <c r="J54" s="105"/>
    </row>
  </sheetData>
  <sheetProtection/>
  <mergeCells count="41">
    <mergeCell ref="A52:B52"/>
    <mergeCell ref="A53:B53"/>
    <mergeCell ref="A54:B54"/>
    <mergeCell ref="A36:B36"/>
    <mergeCell ref="A37:B37"/>
    <mergeCell ref="A41:B41"/>
    <mergeCell ref="A42:B42"/>
    <mergeCell ref="A50:B50"/>
    <mergeCell ref="A51:B51"/>
    <mergeCell ref="A19:B19"/>
    <mergeCell ref="A23:B25"/>
    <mergeCell ref="A26:B26"/>
    <mergeCell ref="A33:B33"/>
    <mergeCell ref="A34:B34"/>
    <mergeCell ref="A35:B35"/>
    <mergeCell ref="A6:B7"/>
    <mergeCell ref="A8:B8"/>
    <mergeCell ref="A15:B15"/>
    <mergeCell ref="A16:B16"/>
    <mergeCell ref="A17:B17"/>
    <mergeCell ref="A18:B18"/>
    <mergeCell ref="B2:C2"/>
    <mergeCell ref="I23:M23"/>
    <mergeCell ref="I24:I25"/>
    <mergeCell ref="J24:J25"/>
    <mergeCell ref="K24:L24"/>
    <mergeCell ref="M24:M25"/>
    <mergeCell ref="D6:D7"/>
    <mergeCell ref="C23:C25"/>
    <mergeCell ref="D23:H23"/>
    <mergeCell ref="D24:D25"/>
    <mergeCell ref="E24:E25"/>
    <mergeCell ref="F24:G24"/>
    <mergeCell ref="H24:H25"/>
    <mergeCell ref="G6:G7"/>
    <mergeCell ref="K6:K7"/>
    <mergeCell ref="C6:C7"/>
    <mergeCell ref="I6:J6"/>
    <mergeCell ref="H6:H7"/>
    <mergeCell ref="E6:E7"/>
    <mergeCell ref="F6:F7"/>
  </mergeCells>
  <printOptions horizontalCentered="1"/>
  <pageMargins left="0" right="0" top="0.37" bottom="0" header="0" footer="0"/>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Sumy 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Snitnikova</dc:creator>
  <cp:keywords/>
  <dc:description/>
  <cp:lastModifiedBy>Цилюрик Віталій Вікторович</cp:lastModifiedBy>
  <cp:lastPrinted>2018-12-23T11:10:58Z</cp:lastPrinted>
  <dcterms:created xsi:type="dcterms:W3CDTF">2001-10-02T09:04:24Z</dcterms:created>
  <dcterms:modified xsi:type="dcterms:W3CDTF">2019-03-01T13:25:20Z</dcterms:modified>
  <cp:category/>
  <cp:version/>
  <cp:contentType/>
  <cp:contentStatus/>
</cp:coreProperties>
</file>