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2120" windowHeight="8055" tabRatio="555" firstSheet="5" activeTab="5"/>
  </bookViews>
  <sheets>
    <sheet name="01.08.2017 (з урах довідок)Удал" sheetId="1" state="hidden" r:id="rId1"/>
    <sheet name="01.01.2018x " sheetId="2" state="hidden" r:id="rId2"/>
    <sheet name="07.12.2017 ЗАГАТОВКА" sheetId="3" state="hidden" r:id="rId3"/>
    <sheet name="12.07.2018 Мой" sheetId="4" state="hidden" r:id="rId4"/>
    <sheet name="01.08.2018 1_12" sheetId="5" state="hidden" r:id="rId5"/>
    <sheet name="за 2018_2019 роки" sheetId="6" r:id="rId6"/>
    <sheet name="13.12.2018 (2)" sheetId="7" state="hidden" r:id="rId7"/>
  </sheets>
  <externalReferences>
    <externalReference r:id="rId10"/>
  </externalReferences>
  <definedNames>
    <definedName name="OLE_LINK2" localSheetId="1">'01.01.2018x '!$A$167</definedName>
    <definedName name="OLE_LINK2" localSheetId="0">'01.08.2017 (з урах довідок)Удал'!$A$163</definedName>
    <definedName name="OLE_LINK2" localSheetId="2">'07.12.2017 ЗАГАТОВКА'!$A$165</definedName>
    <definedName name="OLE_LINK2" localSheetId="3">'12.07.2018 Мой'!$A$133</definedName>
    <definedName name="OLE_LINK2" localSheetId="6">'13.12.2018 (2)'!$A$140</definedName>
    <definedName name="OLE_LINK2" localSheetId="5">'за 2018_2019 роки'!#REF!</definedName>
    <definedName name="_xlnm.Print_Titles" localSheetId="1">'01.01.2018x '!$4:$6</definedName>
    <definedName name="_xlnm.Print_Titles" localSheetId="0">'01.08.2017 (з урах довідок)Удал'!$4:$6</definedName>
    <definedName name="_xlnm.Print_Titles" localSheetId="4">'01.08.2018 1_12'!$4:$6</definedName>
    <definedName name="_xlnm.Print_Titles" localSheetId="2">'07.12.2017 ЗАГАТОВКА'!$4:$6</definedName>
    <definedName name="_xlnm.Print_Titles" localSheetId="3">'12.07.2018 Мой'!$4:$6</definedName>
    <definedName name="_xlnm.Print_Titles" localSheetId="6">'13.12.2018 (2)'!$4:$6</definedName>
    <definedName name="_xlnm.Print_Titles" localSheetId="5">'за 2018_2019 роки'!$5:$8</definedName>
    <definedName name="копія" localSheetId="1">#REF!</definedName>
    <definedName name="копія" localSheetId="0">#REF!</definedName>
    <definedName name="копія" localSheetId="2">#REF!</definedName>
    <definedName name="копія" localSheetId="3">#REF!</definedName>
    <definedName name="копія" localSheetId="6">#REF!</definedName>
    <definedName name="копія" localSheetId="5">#REF!</definedName>
    <definedName name="копія">#REF!</definedName>
    <definedName name="_xlnm.Print_Area" localSheetId="1">'01.01.2018x '!$A$1:$R$182</definedName>
    <definedName name="_xlnm.Print_Area" localSheetId="0">'01.08.2017 (з урах довідок)Удал'!$A$1:$R$178</definedName>
    <definedName name="_xlnm.Print_Area" localSheetId="4">'01.08.2018 1_12'!$A$1:$Q$154</definedName>
    <definedName name="_xlnm.Print_Area" localSheetId="2">'07.12.2017 ЗАГАТОВКА'!$A$1:$R$180</definedName>
    <definedName name="_xlnm.Print_Area" localSheetId="3">'12.07.2018 Мой'!$A$1:$R$152</definedName>
    <definedName name="_xlnm.Print_Area" localSheetId="6">'13.12.2018 (2)'!$A$1:$R$163</definedName>
    <definedName name="_xlnm.Print_Area" localSheetId="5">'за 2018_2019 роки'!$A$1:$J$48</definedName>
  </definedNames>
  <calcPr fullCalcOnLoad="1"/>
</workbook>
</file>

<file path=xl/sharedStrings.xml><?xml version="1.0" encoding="utf-8"?>
<sst xmlns="http://schemas.openxmlformats.org/spreadsheetml/2006/main" count="1259" uniqueCount="366">
  <si>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</si>
  <si>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Рентна плата за спеціальне використання води</t>
  </si>
  <si>
    <t>Рентна плата за спеціальне використання води водних об'єктів місцевого значення</t>
  </si>
  <si>
    <t>Заносимо кіл-ть днів 9 р.д. в 21 р.д. на 12</t>
  </si>
  <si>
    <t>Субвенція з місцевого бюджету на здійснення заходів щодо соціально-економічного розвитку окремих територій за рахунок залишку коштів відповідної субвенції з державного бюджету, що утворився на кінець 2017 року</t>
  </si>
  <si>
    <t>Субвенція з місцевого бюджету за рахунок залишку коштів освітньої субвенції, що утворився на початок бюджетного періоду, у тому числі:</t>
  </si>
  <si>
    <t>на придбання пристроїв для програвання компакт-дисків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t>
  </si>
  <si>
    <t>на придбання персонального комп’ютера/ноутбука та техніки для друкування, копіювання, сканування та ламінування з витратними матеріалами для початкової школи</t>
  </si>
  <si>
    <t>на відшкодування витрат за лікування мешканців районів області у гінекологічному відділенні комунальної установи  "Сумська міська клінічна лікарня № 5"</t>
  </si>
  <si>
    <t>на відшкодування витрат за лікування мешканців районів області у туберкульозному відділенні та у відділенні анестезіології комунальної установи  "Сумська міська дитяча клінічна лікарня Святої Зінаїди"</t>
  </si>
  <si>
    <t>на оздоровлення та відпочинок дітей (крім заходів з оздоровлення дітей, що здійснюються за рахунок коштів на оздоровлення громадян, яеі постраждали внаслідок Чорнобильської катастрофи)</t>
  </si>
  <si>
    <t>для придбання житла працівнику органів прокуратури Сумської області згідно Комплексної районної програми "Правопорядок на 2016-2020 роки"</t>
  </si>
  <si>
    <t>Кошти отримані з районного бюджету Сумського району Сумської області:</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</si>
  <si>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</si>
  <si>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на утримання професійно - технічних навчальних закладів</t>
  </si>
  <si>
    <t>на придбання обладнання для кабінетів української мрви в закладах загальної середньої освіти з навчанням мовами національних меншин (у тому числі придбання електроних фліпчартів та мобільних стендів до них для шкіл з навчанням румунською та угорською мовами)</t>
  </si>
  <si>
    <t>Субвенція з місцевого бюджету на забезпечення якісної, сучасної та досупної загальної середньої освіти "Нова українська школа" за рахунок відповідної субвенції з державного бюджету</t>
  </si>
  <si>
    <t>утримання професійно - технічних навчальних закладів</t>
  </si>
  <si>
    <t xml:space="preserve">Кошти отримані з Миколаївської селищної ради Білопільського району Сумської област на відшкодування витрат за комунальні послуги та енергоносії </t>
  </si>
  <si>
    <t>Кошти, отримані від надання учасниками процедури закупівель як забезпечення їх тендерної пропозиції (пропозиції конкурсних торгів), які не підлягають поверненню цим учасникам</t>
  </si>
  <si>
    <t>Субвеція з місцевого бюджету за рахунок залишку коштів освітньої субвенції,що утворився на початок бюджетного періоду, у т.ч. на:</t>
  </si>
  <si>
    <t>Плата за встановлення земельного сервітуту</t>
  </si>
  <si>
    <t>Субвенція з місцевого бюджету на виплату грошової компенсації за належні для отримання жилі приміщення для сімей загиблих осіб, визначених абзацами 5 - 8 пункту 1 статті 10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</si>
  <si>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на виконання депутатських повноважень  депутатів Сумської обласної ради</t>
  </si>
  <si>
    <t>Кошти отримані з обласного бюджету:</t>
  </si>
  <si>
    <t>на виконання депутатських повноважень депутатів Сумської обласної ради</t>
  </si>
  <si>
    <t>на соціально-економічний розвиток регіонів Сумської області</t>
  </si>
  <si>
    <t>Доходи міського бюджету м. Суми станом на 12.07.2018</t>
  </si>
  <si>
    <t>Фактично надійшло за січень - 8 р.д. липня 2017 року</t>
  </si>
  <si>
    <t>Відх-ня надх-нь за січень - 8 р.д. липня 2018 року до січня - 8 р.д. липня 2017 року</t>
  </si>
  <si>
    <t>% вик-ння надх-нь  за січень - 8 р.д. липня 2018 року до  січня -  8 р.д. липня  2017 року</t>
  </si>
  <si>
    <t>Кошти отримані з обласного бюджету</t>
  </si>
  <si>
    <t>Кошти отримані з обласного бюджету на:</t>
  </si>
  <si>
    <t>Планові розрахунки на січень-липень пропорційно 1/12</t>
  </si>
  <si>
    <t>Планові розрахунки на січень-липень за розписом</t>
  </si>
  <si>
    <t>в т.ч. над-шло у липні</t>
  </si>
  <si>
    <t>Медична субвенція з державного бюджету місцевим бюджетам, з них:</t>
  </si>
  <si>
    <t>Освітня субвенція з державного бюджету місцевим бюджетам, з них:</t>
  </si>
  <si>
    <t>- 2998,7 тис. грн. – кошти від відчуження майна, що перебуває в комунальній власності;</t>
  </si>
  <si>
    <t>- 910,6 тис. грн. – кошти від продажу земельних ділянок;</t>
  </si>
  <si>
    <t xml:space="preserve">- 3351,9 тис. грн. – кошти пайової участі у розвитку інфраструктури населеного пункту; </t>
  </si>
  <si>
    <t>Доходи міського бюджету м. Суми станом на 01.08.2017</t>
  </si>
  <si>
    <t>Фактично надійшло за січень -  липень 2016 року</t>
  </si>
  <si>
    <t>Відх-ня надх-нь за  січень - липень 2017 року до січня  -  липня 2016 року</t>
  </si>
  <si>
    <t>% вик-ння надх-нь  за  січень - липень 2017 року до  січня - липня 2016 року</t>
  </si>
  <si>
    <t>Кошти отримані з Миколаївської селищної ради Білопільського району Сумської області на:</t>
  </si>
  <si>
    <t>відшкодування витрат за надання вторинної медичної допомоги мешканцям Миколаївської об'єднаної територіальної громади у лікувально-профілактичних закладах міста Суми</t>
  </si>
  <si>
    <t xml:space="preserve">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t>
  </si>
  <si>
    <t>Субвенція з державного бюджету місцевим бюджетам на надання державної підтримки особам з особливими освітніми потребами</t>
  </si>
  <si>
    <t>Заносимо кіл-ть днів 17 р.д. в 20 р.д. на 12</t>
  </si>
  <si>
    <t>забезпечення твердим паливом (дровами, торфобрикетами) сімей учасників антитерористичної операції</t>
  </si>
  <si>
    <t>забезпечення лікування хворих на хронічну ниркову недостатність методом гемодіалізу</t>
  </si>
  <si>
    <t>Інші субвенції на:</t>
  </si>
  <si>
    <t>компенсаційні виплати за пільговий проїзд особам, які брали участь в антитерористичній операції у складі добровольчих формувань, членам сімей загиблих (померлих) учасників антитерористичної операції, особам, що супроводжують інваліда війни I групи з числа учасників антитерористичної операції</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</si>
  <si>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</si>
  <si>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виконання Обласної програми надання медичної допомоги нефрологічним хворим методом гемодіалізу у Сумській області на 2014-2016 роки</t>
  </si>
  <si>
    <t>Субвенція за рахунок залишку коштів медичної субвенції з державного бюджету місцевим бюджетам, що утворився на початок бюджетного періоду, на:</t>
  </si>
  <si>
    <t>В.А. Мечик</t>
  </si>
  <si>
    <t xml:space="preserve">виконання Обласної програми надання медичної допомоги нефрологічним хворим методом гемодіалізу у Сумській області на 2014-2016 роки </t>
  </si>
  <si>
    <t>Субвенція за рахунок залишку коштів освітньої субвенції з державного бюджету місцевим бюджетам, що утворився на початок бюджетного періоду на:</t>
  </si>
  <si>
    <t xml:space="preserve">видання, придбання, зберігання і доставку підручників і посібників для учнів загальноосвітніх закладів </t>
  </si>
  <si>
    <t>Найменування доходів</t>
  </si>
  <si>
    <t>Планові розрахунки  на поточну дату за розписом</t>
  </si>
  <si>
    <t>Надійшло з початку року</t>
  </si>
  <si>
    <t>% вик-ня до планових розр-ків на поточну дату за розписом</t>
  </si>
  <si>
    <t xml:space="preserve">З А Г А Л Ь Н И Й    Ф О Н Д </t>
  </si>
  <si>
    <t>ПОДАТКОВІ НАДХОДЖЕННЯ</t>
  </si>
  <si>
    <t>Податки на доходи, податки на прибуток, податки на збільшення ринкової вартості</t>
  </si>
  <si>
    <t>Фіксований податок на доходи фізичних осіб від зайняття підприємницькою діяльністю, нарахований до 1 січня 2012 року</t>
  </si>
  <si>
    <t xml:space="preserve">Податок на прибуток підприємств та фінансових установ комунальної власності </t>
  </si>
  <si>
    <t xml:space="preserve">Місцеві податки і збори, нараховані до 1 січня 2011 року </t>
  </si>
  <si>
    <t xml:space="preserve">Збір за припаркування автотранспорту  </t>
  </si>
  <si>
    <t>Податок на промисел</t>
  </si>
  <si>
    <t>Місцеві податки і збори</t>
  </si>
  <si>
    <t>Туристичний збір</t>
  </si>
  <si>
    <t>18040000 </t>
  </si>
  <si>
    <t>Інші податки та збори </t>
  </si>
  <si>
    <t>НЕПОДАТКОВІ НАДХОДЖЕННЯ</t>
  </si>
  <si>
    <t>Доходи від власності та підприємницької діяльності</t>
  </si>
  <si>
    <t>Плата за розміщення тимчасово вільних коштів місцевих бюджетів </t>
  </si>
  <si>
    <t>Інші надходження</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</si>
  <si>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торгівлі,г/х та послуг</t>
  </si>
  <si>
    <t>Адміністративні штрафи та інші санкції</t>
  </si>
  <si>
    <t>Адміністративні збори та платежі, доходи від некомерційної господарської діяльності </t>
  </si>
  <si>
    <t>Плата за надання адміністративних послуг</t>
  </si>
  <si>
    <t>22010000 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</si>
  <si>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</si>
  <si>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</si>
  <si>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Державне мито</t>
  </si>
  <si>
    <t>Інші неподаткові надходження</t>
  </si>
  <si>
    <t>Надходження сум кредиторської та депонентської заборгованості підприємств, організацій та установ, щодо яких минув строк позовної давності</t>
  </si>
  <si>
    <t>Надходження коштів з рахунків виборчих фондів</t>
  </si>
  <si>
    <t>Доходи від операцій з капіталом</t>
  </si>
  <si>
    <t>Надходження від продажу основного капіталу</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</si>
  <si>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</si>
  <si>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t>
  </si>
  <si>
    <t>Надходження коштів від Державного фонду дорогоцінних металів і дорогоцінного каміння</t>
  </si>
  <si>
    <t>Всього загальний фонд</t>
  </si>
  <si>
    <t>ОФІЦІЙНІ ТРАНСФЕРТИ</t>
  </si>
  <si>
    <t>Від органів державного управління </t>
  </si>
  <si>
    <t>Дотації</t>
  </si>
  <si>
    <t>Додаткова дотація з державного бюджету  на вирівнювання фінансової забезпеченості місцевих бюджетів</t>
  </si>
  <si>
    <t xml:space="preserve">Інші додаткові дотації  </t>
  </si>
  <si>
    <t>Додаткова дотація з державного бюджету місцевим бюджетам на покращення надання соціальних послуг найуразливішим верствам населення</t>
  </si>
  <si>
    <t>Додаткова дотація з державного бюджету місцевим бюджетам на поліпшення умов оплати праці медичних працівників, які надають медичну допомогу хворим на заразну та активну форму туберкульозу</t>
  </si>
  <si>
    <t>Додаткова дотація з державного  бюджету місцевим бюджетам на оплату праці працівників бюджетних установ</t>
  </si>
  <si>
    <t>Субвенція з державного бюджету місцевим бюджетам на модернізацію та оновлення матеріально-технічної бази професійно-технічних навчальних закладів</t>
  </si>
  <si>
    <t>Частина чистого прибутку (доходу) комунальних унітарних підприємств та їх об'єднань, що вилучається до відповідного місцевого бюджету</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</si>
  <si>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</si>
  <si>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території Автономної Республіки Крим</t>
  </si>
  <si>
    <t>Додаткова дотація з державного бюджету місцевим бюджетам на виплату допомоги по догляду за інвалідом І чи ІІ групи внаслідок психічного розладу</t>
  </si>
  <si>
    <t xml:space="preserve">Cубвенція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 </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</si>
  <si>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</si>
  <si>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на будівництво доріг та ліній освітлення 12 мікрорайону</t>
  </si>
  <si>
    <t>Кошти, що передаються до державного бюджету з місцевих бюджетів</t>
  </si>
  <si>
    <t xml:space="preserve">Надходження коштів від відшкодування втрат сільськогосподарського і лісогосподарського виробництва  </t>
  </si>
  <si>
    <t>Директор департаменту</t>
  </si>
  <si>
    <t>С.А. Липова</t>
  </si>
  <si>
    <t xml:space="preserve">Надходження коштів з рахунків виборчих фондів  </t>
  </si>
  <si>
    <t>Код бюджетної класиф-ції</t>
  </si>
  <si>
    <t xml:space="preserve">Фактично надійшло за рік </t>
  </si>
  <si>
    <t>Інші субвенції, на:</t>
  </si>
  <si>
    <t>відшкодування витрат за лікування мешканців районів області у гінекологічному відділенні комунальної установи  «Сумська міська клінічна лікарня № 5»</t>
  </si>
  <si>
    <t>Рентна плата та плата за використання інших природних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</si>
  <si>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</si>
  <si>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Рентна плата за користування надрами</t>
  </si>
  <si>
    <t>Рентна плата за користування надрами для видобування корисних копалин місцевого значення</t>
  </si>
  <si>
    <t>Місцеві податки</t>
  </si>
  <si>
    <t>Збір за провадження деяких видів підприємницької діяльності, що справлявся до 1 січня 2015 року</t>
  </si>
  <si>
    <t>відшкодування витрат за лікування мешканців районів області у туберкульозному відділенні  комунальної установи «Сумська міська дитяча клінічна лікарня Святої Зінаїди»</t>
  </si>
  <si>
    <t>Внутрішні податки на товари та послуги</t>
  </si>
  <si>
    <t>Акцизний податок з реалізації суб'єктами господарювання роздрібної торгівлі підакцизних товарів</t>
  </si>
  <si>
    <t>Податок на майно, в т.ч.:</t>
  </si>
  <si>
    <t>Податок на нерухоме майно, відмінне від земельної ділянки</t>
  </si>
  <si>
    <t>Земельний податок та орендна плата</t>
  </si>
  <si>
    <t>18010500, 18010600, 18010700, 18010900</t>
  </si>
  <si>
    <t>Єдиний податок  </t>
  </si>
  <si>
    <t xml:space="preserve">Дотації вирівнювання з державного бюджету місцевим бюджетам / </t>
  </si>
  <si>
    <t>% вик-ня плану на рік</t>
  </si>
  <si>
    <t>% вик-ня до планових розр-ків на поточну дату пропорційно 1/12</t>
  </si>
  <si>
    <t xml:space="preserve">Відх-ня від плану пропор-но 1/12 </t>
  </si>
  <si>
    <t>Планові розрахунки на поточну дату пропорційно 1/12</t>
  </si>
  <si>
    <t>Плата за надання інших адміністративних послуг</t>
  </si>
  <si>
    <t>22012500 </t>
  </si>
  <si>
    <t xml:space="preserve">Адміністративні штрафи та штрафні санкції за порушення законодавства у сфері виробництва та обігу алкогольних напоїв та тютюнових виробів </t>
  </si>
  <si>
    <t xml:space="preserve">Надходження рентної плати за спеціальне використання води від підприємств житлово-комунального господарства </t>
  </si>
  <si>
    <t>Транспортний податок з юридичних осіб</t>
  </si>
  <si>
    <t>Транспортний податок з фізичних осіб</t>
  </si>
  <si>
    <t>виплату допомоги інвалідам І групи з числа учасників бойових дій на території інших держав та сім'ям загиблих учасників бойових дій на території інших держав, які проживають у Сумській області</t>
  </si>
  <si>
    <t>пільгове медичне обслуговування громадян, які постраждали внаслідок Чорнобильської катастрофи</t>
  </si>
  <si>
    <t>поховання учасників бойових дій та інвалідів війни</t>
  </si>
  <si>
    <t>обробку інформації з нарахування та виплати допомог і компенсацій</t>
  </si>
  <si>
    <t>забезпечення лікування хворих на цукровий та нецукровий діабет</t>
  </si>
  <si>
    <t>Податок та збір на доходи фізичних осіб</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</si>
  <si>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</si>
  <si>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виконання депутатських повноважень депутатів Сумської обласної ради</t>
  </si>
  <si>
    <t>виконання депутатських повноважень  депутатів Сумської обласної ради</t>
  </si>
  <si>
    <t>Субвенція з державного бюджету місцевим бюджетам на здійснення заходів щодо соціально-економічного розвитку  окремих територій</t>
  </si>
  <si>
    <t xml:space="preserve">В.о. старости </t>
  </si>
  <si>
    <t>Піщанського старостинського округу</t>
  </si>
  <si>
    <t xml:space="preserve">Надходження коштів з рахунків виборчих фондів </t>
  </si>
  <si>
    <t>Додаткова дотація з державного бюджету  місцевим бюджетам на забезпечення виплат, пов’язаних із підвищенням рівня оплати праці працівників бюджетної сфери, в тому числі на підвищення посадового окладу працівника першого тарифного розряду Єдиної тарифної с</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</si>
  <si>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питного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t>
  </si>
  <si>
    <t xml:space="preserve">Адміністративний збір за державну реєстрацію речових прав на нерухоме майно та їх обтяжень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</si>
  <si>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</si>
  <si>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І-ІІ групи з числа учасників бойових дій на території інших держав, які стали інвалідами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</si>
  <si>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Кошти отримані з Миколаївської селищної ради Білопільського району Сумської області:</t>
  </si>
  <si>
    <t>на відшкодування витрат за надання вторинної медичної допомоги, крім енергоносіїв</t>
  </si>
  <si>
    <t>Фактично надійшло за січень - липень 2017 року</t>
  </si>
  <si>
    <t>Відх-ня надх-нь за січень - липень 2018 року до січня - липня 2017 року</t>
  </si>
  <si>
    <t>% вик-ння надх-нь  за січень - липень 2018 року до  січня -  липня  2017 року</t>
  </si>
  <si>
    <t>Доходи міського бюджету м. Суми станом на 01.08.2018</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</si>
  <si>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 за рахунок відповідної субвенції з державного бюджету</t>
  </si>
  <si>
    <t>Субвенція з місцевого бюджету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та визнані інвалідами війни III групи відповідно до пунктів 11 - 14 частини другої статті 7 або учасниками бойових дій відповідно до пунктів 19 - 20 частини першої статті 6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</si>
  <si>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компенсаційні виплати за пільговий проїзд учасників антитерористичної операції (операції об'єднаних сил), членів сімей загиблих (померлих) учасників антитерористичної операції (операції об'єднаних сил), інших ветеранів війни та добровольців з числа учасників антитерористичної операції (операції об'єднаних сил), осіб, які супроводжують інваліда війни І групи</t>
  </si>
  <si>
    <t>на придбання будівельгих матеріалів для підготовки вертикальних поверхонь коридорів навчальних майстерень Державному навчальному закладу "Сумське міжрегіональне вище професійне училище"</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</si>
  <si>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 внутрішньо будинкових систем), що вироблялися, транспортувалися та постачалися населенню та 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</si>
  <si>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на оплату праці з нарахуваннями</t>
  </si>
  <si>
    <t>Фактично надійшло за січень - листопад 2017 року</t>
  </si>
  <si>
    <t>Відх-ня надх-нь за січень - листопад 2018 року до січня - листопада 2017 року</t>
  </si>
  <si>
    <t>% вик-ння надх-нь  за січень -  листопад 2018 року до  січня -  листопада  2017 року</t>
  </si>
  <si>
    <t>Доходи міського бюджету м. Суми станом на 13.12.2018</t>
  </si>
  <si>
    <t>Від Європейського Союзу, урядів іноземних держав, міжнародних організацій, донорських установ</t>
  </si>
  <si>
    <t>Гранти (дарунки), що надійшли до бюджетів усіх рівнів  </t>
  </si>
  <si>
    <t>0</t>
  </si>
  <si>
    <t>№ з/п</t>
  </si>
  <si>
    <t xml:space="preserve">Цільові фонди </t>
  </si>
  <si>
    <t>Додаток 1</t>
  </si>
  <si>
    <t>Надходження до загального фонду - всього, в т. ч.:</t>
  </si>
  <si>
    <t>Власні доходи</t>
  </si>
  <si>
    <t>Офіційні трансфети</t>
  </si>
  <si>
    <t>Надходження до спеціального фонду - всього, в т. ч.:</t>
  </si>
  <si>
    <t>Код бюджетної класиф-ції доходів</t>
  </si>
  <si>
    <t>2018 рік</t>
  </si>
  <si>
    <t>2019 рік</t>
  </si>
  <si>
    <t>ВЛАСНІ ДОХОДИ</t>
  </si>
  <si>
    <t xml:space="preserve"> за 2019 рік у порівнянні з 2018 роком</t>
  </si>
  <si>
    <t>Питома вага в загальному обсязі доходів, %</t>
  </si>
  <si>
    <t xml:space="preserve">Відсоток виконання до плану на рік, % </t>
  </si>
  <si>
    <t>ВСЬОГО, в т. ч.:</t>
  </si>
  <si>
    <t>1.</t>
  </si>
  <si>
    <t>2.</t>
  </si>
  <si>
    <t>2.1.</t>
  </si>
  <si>
    <t>2.2.</t>
  </si>
  <si>
    <t>Внутрішні податки на товари та послуги - всього,            з них:</t>
  </si>
  <si>
    <t>Місцеві податки - всього, з них:</t>
  </si>
  <si>
    <t>2.3.</t>
  </si>
  <si>
    <t>Інші джерела надходжень - всього, в т.ч.:</t>
  </si>
  <si>
    <t>Бюджет розвитку - всього, з них:</t>
  </si>
  <si>
    <t>Відхилення фактичних надходжень за 2019 рік  до 2018 року</t>
  </si>
  <si>
    <t>(+;-),                     тис. гривень</t>
  </si>
  <si>
    <t>Фактично надійшло            за рік,                тис. гривень</t>
  </si>
  <si>
    <t>Затверджено з урахуванням змін                           на 2019 рік, тис. гривень</t>
  </si>
  <si>
    <t xml:space="preserve">відсоток приросту, % </t>
  </si>
  <si>
    <t>РАЗОМ ДОХОДІВ, в т.ч.:</t>
  </si>
  <si>
    <t>ЗАГАЛЬНИЙ ФОНД - всього, в т.ч.:</t>
  </si>
  <si>
    <t>СПЕЦІАЛЬНИЙ ФОНД - всього, в т.ч.:</t>
  </si>
  <si>
    <t>3.1.</t>
  </si>
  <si>
    <t>3.2.</t>
  </si>
  <si>
    <t>3.3.</t>
  </si>
  <si>
    <t>3.4.</t>
  </si>
  <si>
    <t>3.5.</t>
  </si>
  <si>
    <t>3.</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</si>
  <si>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</si>
  <si>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</si>
  <si>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t>
  </si>
  <si>
    <t>Субвенції</t>
  </si>
  <si>
    <t>Субвенція на утримання об'єктів спільного користування чи ліквідацію негативних наслідків діяльності об'єктів спільного користування </t>
  </si>
  <si>
    <t>2,0 рази</t>
  </si>
  <si>
    <t>16,1 рази</t>
  </si>
  <si>
    <t>1,9 рази</t>
  </si>
  <si>
    <t>1,7 рази</t>
  </si>
  <si>
    <t>в т.ч.: компенсація за пільговий проїзд окремих категорій громадян</t>
  </si>
  <si>
    <t>пільги на послуги зв'язку</t>
  </si>
  <si>
    <t>інші пільги</t>
  </si>
  <si>
    <t xml:space="preserve">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</si>
  <si>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Разом доходів (загальний фонд)</t>
  </si>
  <si>
    <t>С П Е Ц І А Л Ь Н И Й    Ф О Н Д</t>
  </si>
  <si>
    <t>Податок з власників транспортних засобів та інших самохідних машин і механізмів</t>
  </si>
  <si>
    <t>Збір за першу реєстрацію транспортного засобу </t>
  </si>
  <si>
    <t>12030000 </t>
  </si>
  <si>
    <t>Податок на нерухоме майно, відмінне від земельної ділянки </t>
  </si>
  <si>
    <t>18010000 </t>
  </si>
  <si>
    <t>18041500 </t>
  </si>
  <si>
    <t xml:space="preserve">Єдиний податок </t>
  </si>
  <si>
    <t>18050000 </t>
  </si>
  <si>
    <t>19000000 </t>
  </si>
  <si>
    <t>Екологічний податок </t>
  </si>
  <si>
    <t>19010000 </t>
  </si>
  <si>
    <t>Інші надходження до фондів охорони навколишнього природного середовища</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</si>
  <si>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</si>
  <si>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Доходи від операцій з кредитування та надання гарантій</t>
  </si>
  <si>
    <t xml:space="preserve">Відсотки за користування позиками, які надавалися з місцевих бюджетів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</si>
  <si>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</si>
  <si>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</si>
  <si>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 xml:space="preserve">Власні надходження бюджетних установ </t>
  </si>
  <si>
    <t>ДОХОДИ ВІД ОПЕРАЦІЙ З КАПІТАЛОМ</t>
  </si>
  <si>
    <t>Кошти від відчуження майна, що належить Автономній Республіці Крим та майна, що перебуває в комунальній власності  </t>
  </si>
  <si>
    <t>Кошти від продажу землі і нематеріальних активів</t>
  </si>
  <si>
    <t>Кошти від продажу землі </t>
  </si>
  <si>
    <t xml:space="preserve">ЦІЛЬОВІ ФОНДИ  </t>
  </si>
  <si>
    <t>Разом загальний та спеціальний фонд</t>
  </si>
  <si>
    <t>В.о. начальника  управління</t>
  </si>
  <si>
    <t>І кошик</t>
  </si>
  <si>
    <t>ІІ кошик</t>
  </si>
  <si>
    <r>
      <t>Податки на власність</t>
    </r>
    <r>
      <rPr>
        <sz val="8"/>
        <rFont val="Verdana"/>
        <family val="2"/>
      </rPr>
      <t> </t>
    </r>
  </si>
  <si>
    <r>
      <t>Надходження від продажу основного капіталу</t>
    </r>
    <r>
      <rPr>
        <b/>
        <sz val="8"/>
        <rFont val="Verdana"/>
        <family val="2"/>
      </rPr>
      <t> </t>
    </r>
  </si>
  <si>
    <t xml:space="preserve">Відх-ня від плану за розписом </t>
  </si>
  <si>
    <t>-  земельного податку та орендній платі  – 179,7 тис. грн. (за розписом – -619,5 тис. грн.);</t>
  </si>
  <si>
    <t>-  платі за оренду комунального майна  – 1687,6 тис. грн. (за розписом – 1716,3 тис. грн.);</t>
  </si>
  <si>
    <t>-  податку на нерухоме майно, відмінне від земельної ділянки – 179,7 тис. грн. (за розписом – -619,5 тис. грн.);</t>
  </si>
  <si>
    <t>У порівнянні з відповідним періодом минулого року в співставних значеннях  надходження загального фонду міського бюджету (без урахування трансфертів) збільшилися на 165935,3 тис. грн. за рахунок податку на доходи фізичних осіб (+118045,2 тис. грн.), земельного податку та орендної плати (+ 7214,9 тис. грн.), акцизного податку  (+ -17984,7 тис. грн.), єдиного податку (+24180,5 тис. грн.), плати за оренду комунального майна (+ -824,3 тис. грн.),  плати за розміщення тимчасово вільних коштів місцевих бюджетів (+ 11320 тис. грн.), податку на нерухоме майно відмінне від земельної ділянки  (+253 тис. гривень).</t>
  </si>
  <si>
    <t>Із загальної суми надходжень з початку року 60,7% ( 452891,2 тис. грн.) становить податок на доходи фізичних осіб; 12,7 % (94597,5 тис. грн.) – земельний податок та орендна плата; 11,5 % ( 85722,1 тис. грн.) – єдиний податок; 5,6 % ( 41542,1 тис. грн.) – акцизний податок; 2,8%  (20661,3 тис. грн.) – плата за розміщення тимчасово вільних коштів; 1,6%  (11604,3 тис.грн.) –  плата за оренду комунального майна; 1,2%  (8691,9 тис. грн.) –  плата за надання адміністративних послуг.</t>
  </si>
  <si>
    <t>- 121,1 тис. грн. – відсотки за користування позиками, які надавалися  з місцевих бюджетів.</t>
  </si>
  <si>
    <t>Офіційних трансфертів станом на .11.2016 року до загального фонду міського бюджету надійшло 904646,6 тис.грн., що становить 96,5% до плану на січень – листопад за розписом, до спеціального фонду –  225,2 тис. грн. (0,9% до плану за розписом).</t>
  </si>
  <si>
    <t>До загального фонду міського бюджету (без урахування трансфертів) станом на .12.2016 року надійшли кошти в сумі 745799,1 тис. грн., що становить 55,72 % до плану на рік.</t>
  </si>
  <si>
    <t xml:space="preserve">Сума перевиконання пропорційно 1/12 на поточну дату становить-34996,5 тис. грн. (за розписом – -19267,3 тис. грн.), в т. ч. за рахунок: </t>
  </si>
  <si>
    <t>-  податку на доходи фізичних осіб – -28554,8 тис. грн. (за розписом – -14083,8 тис. грн.);</t>
  </si>
  <si>
    <t>-  єдиного податку  – 1836,8 тис. грн. (за розписом – 2662,8 тис. грн.);</t>
  </si>
  <si>
    <t>-  акцизного податку – -1335,6 тис. грн. (за розписом – -713,6 тис. грн.);</t>
  </si>
  <si>
    <t>-  платі за розміщення тимчасово вільних коштів місцевих бюджетів  – 6899,4 тис. грн. (за розписом – 1769,8 тис. грн.);</t>
  </si>
  <si>
    <t>До спеціального фонду міського бюджету (без урахування трансфертів)  станом на .11.2016 року надійшли кошти в сумі 43629,6 тис. грн., що становить 60,6 % до плану на рік та на 6716,8 тис. грн. більше надходжень за відповідний період 2015 року.</t>
  </si>
  <si>
    <t xml:space="preserve">Надходження бюджету розвитку становлять 7382,3 тис. грн., що відповідає 263,8 % до планових розрахунків на поточну дату пропорційно 1/12, в т.ч.: </t>
  </si>
  <si>
    <t>Всього спеціальний фонд, в т.ч.:</t>
  </si>
  <si>
    <t>відшкодування витрат за лікування мешканців районів області у туберкульозному відділенні  комунальної установи «Сумська міська дитяча клінична лікарня Святої Зінаїди»</t>
  </si>
  <si>
    <t>Спеціальний фонд (без офіційних трансфертів)</t>
  </si>
  <si>
    <t>Бюджет розвитку</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</si>
  <si>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</si>
  <si>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Акцизний податок з пального виробленого в Україні</t>
  </si>
  <si>
    <t>Акцизний податок з пального ввезеного на митну територію України</t>
  </si>
  <si>
    <t>Субвенція з  держбюджету місцбюджетам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водопостач-ня і водовід-ня,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</si>
  <si>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I - II групи з числа військовослужбовців, які брали участь у зазначеній операції, та потребують поліпшення житлових умов </t>
  </si>
  <si>
    <r>
      <t>Інші надходження</t>
    </r>
    <r>
      <rPr>
        <sz val="12"/>
        <rFont val="Verdana"/>
        <family val="2"/>
      </rPr>
      <t> </t>
    </r>
  </si>
  <si>
    <t>Податок на прибуток підприємств </t>
  </si>
  <si>
    <t>Адміністративний збір за проведення державної реєстрації юридичних осіб, фізичних осіб - підприємців та громадських формувань</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</si>
  <si>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</si>
  <si>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 xml:space="preserve">оплату компенсаційних виплат інвалідам на бензин, ремонт, техобслуговування автотранспорту та транспортне обслуговування </t>
  </si>
  <si>
    <t>БР</t>
  </si>
  <si>
    <t>18010100,  18010200,   18010300,   18010400</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</si>
  <si>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t>
  </si>
  <si>
    <t>виконання Обласної програми надання медичної допомоги нефрологічним хворим методом гемодіалізу у Сумській області на 2014 - 2016 роки</t>
  </si>
  <si>
    <t>Субвенція з державного бюджету місцевим бюджетам на проведення виборів депутатів місцевих рад та сільських, селищних, міських голів</t>
  </si>
  <si>
    <t>соціально-економічний розвиток регіонів Сумської області</t>
  </si>
  <si>
    <t xml:space="preserve">1.Заносимо колонку вручну 4 та 12,     2.  Колонку 8-9 корегуємо маленькою таблицею, що нижче                             3. Колонку  10-11 корегуємо робочі дні занісши зміни в розпис та свод                                                     </t>
  </si>
  <si>
    <t>Стабілізаційна дотація</t>
  </si>
  <si>
    <t>Місяці заносимо для 8 кол.  (12 м.) =</t>
  </si>
  <si>
    <t>Місяці заносимо для 9 кол. (11 м.) =</t>
  </si>
  <si>
    <t>видатки на оплату праці з нарахуваннями з метою обслуговування громадян, які переміщуються з тимчасово окупованої території України та районів проведення антитерористичної операції</t>
  </si>
  <si>
    <t>Цільові фонди утворені Верховною Радою Автономної Республіки Крим, органами місцевого самоврядування та місцевими органами виконавчої влади</t>
  </si>
  <si>
    <t xml:space="preserve">встановлення телефонів інвалідам І та ІІ груп </t>
  </si>
  <si>
    <t>Затверджено на 2017 рік</t>
  </si>
  <si>
    <t>для компенсаційних виплат за пільговий проїзд окремих категорій громадян</t>
  </si>
  <si>
    <t>Субвенція з державного бюджету, місцевим бюджетам на відшкодування вартості лікарських засобів для лікування окремих захворювань</t>
  </si>
  <si>
    <t>Планові розрахунки на січень-листопад пропорційно 1/12</t>
  </si>
  <si>
    <t>Планові розрахунки на січень-листопад за розписом</t>
  </si>
  <si>
    <t>Заносимо кіл-ть днів11 р.д. в 21 р.д. на 12</t>
  </si>
  <si>
    <t>в т.ч. над-шло у листопаді</t>
  </si>
  <si>
    <t>Фактично надійшло за січень -  листопад 2016 року</t>
  </si>
  <si>
    <t>Відх-ня надх-нь за  січень -  листопад 2017 року до січня  - листопада 2016 року</t>
  </si>
  <si>
    <t>% вик-ння надх-нь  за  січень - листопад 2017 року до січня  -   листопада 2016 року</t>
  </si>
  <si>
    <t>Доходи міського бюджету м. Суми станом на 07.12.2017</t>
  </si>
  <si>
    <t>в т.ч. над-шло у грудні</t>
  </si>
  <si>
    <t>Планові розрахунки на січень-грудень пропорційно 1/12</t>
  </si>
  <si>
    <t>Планові розрахунки на січень-грудень за розписом</t>
  </si>
  <si>
    <t>на забезпечення відшкодування за встановлення пам"ятників  та облаштування місць поховання загиблих (померлих) учасників антитерористичної операції</t>
  </si>
  <si>
    <t>Доходи міського бюджету м. Суми станом на 01.01.2018</t>
  </si>
  <si>
    <t>Відх-ня надх-нь за  2017 рік до  2016 року</t>
  </si>
  <si>
    <t>% вик-ння надх-нь  за  за  2017 рік до  2016 року</t>
  </si>
  <si>
    <t>Відх-ня від плану на рік</t>
  </si>
  <si>
    <t>на забезпечення відшкодування за встановлення пам'ятників  та облаштування місць поховання загиблих (померлих) учасників антитерористичної операції</t>
  </si>
  <si>
    <t>Затверджено на 2018 рік</t>
  </si>
  <si>
    <t>Освітня субвенція з державного бюджету місцевим бюджетам</t>
  </si>
  <si>
    <t>Медична субвенція з державного бюджету місцевим бюджетам</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</si>
  <si>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</si>
  <si>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</si>
  <si>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Субвенції з місцевих бюджетів іншим місцевим бюджетам</t>
  </si>
  <si>
    <t>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вивезення побутового сміття та рідких нечистот за рахунок відповідної субвенції з державного бюджету</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</si>
  <si>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</si>
  <si>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 xml:space="preserve">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I групи, а також за особою, яка досягла 80-річного віку за рахунок відповідної субвенції з державного бюджету </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</si>
  <si>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за рахунок відповідної субвенції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</si>
  <si>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 у тому числі:</t>
  </si>
  <si>
    <t>на відшкодування витрат за лікування мешканців районів області у гінекологічному відділенні комунальної установи  «Сумська міська клінічна лікарня № 5»</t>
  </si>
  <si>
    <t>на відшкодування витрат за лікування мешканців районів області у туберкульозному відділенні  та у відділенні анастезіології комунальної установи «Сумська міська дитяча клінична лікарня Святої Зінаїди»</t>
  </si>
  <si>
    <t>на забезпечення лікування хворих на хронічну ниркову недостатність методом гемодіалізу</t>
  </si>
  <si>
    <t>на забезпечення лікування хворих на цукровий та нецукровий діабет</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</si>
  <si>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</si>
  <si>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</si>
  <si>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Інші субвенції з місцевого бюджету, у тому числі:</t>
  </si>
  <si>
    <t>компенсаційні виплати за пільговий проїзд інвалідам війни та учасникам бойових дій з числа учасників антитерористичної операції, добровольцям, членам сімей загиблих (померлих) учасників антитерористичної операції, особам, що супроводжують інваліда війни I групи з числа учасників антитерористичної операції</t>
  </si>
  <si>
    <t>компенсаційні виплати за пільговий проїзд окремих категорій громадян</t>
  </si>
  <si>
    <t>на виплату допомоги інвалідам І групи з числа учасників бойових дій на території інших держав та сім'ям загиблих учасників бойових дій на території інших держав, які проживають у Сумській області</t>
  </si>
  <si>
    <t>на встановлення телефонів інвалідам І та ІІ груп</t>
  </si>
  <si>
    <t>на пільгове медичне обслуговування громадян, які постраждали внаслідок Чорнобильської катастрофи</t>
  </si>
  <si>
    <t>на поховання учасників бойових дій та інвалідів війни</t>
  </si>
  <si>
    <t>на оплату компенсаційних виплат інвалідам на бензин, ремонт, техобслуговування автотранспорту та транспортне обслуговування</t>
  </si>
  <si>
    <t>на забезпечення твердим паливом (дровами, торфобрикетами) сімей учасників антитерористичної операції</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</si>
  <si>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</si>
  <si>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</si>
  <si>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Інші надходження </t>
  </si>
  <si>
    <r>
      <t>Податки на власність</t>
    </r>
    <r>
      <rPr>
        <sz val="8"/>
        <rFont val="Times New Roman"/>
        <family val="1"/>
      </rPr>
      <t> </t>
    </r>
  </si>
  <si>
    <r>
      <t>Надходження від продажу основного капіталу</t>
    </r>
    <r>
      <rPr>
        <b/>
        <sz val="8"/>
        <rFont val="Times New Roman"/>
        <family val="1"/>
      </rPr>
      <t> </t>
    </r>
  </si>
  <si>
    <t xml:space="preserve">Транспортний податок </t>
  </si>
  <si>
    <t>18011000, 180111000</t>
  </si>
  <si>
    <t>Субвенції з державного бюджету місцевим бюджетам</t>
  </si>
  <si>
    <t xml:space="preserve">Аналіз показників щодо виконання дохідної частини сільського бюджету села Піщане </t>
  </si>
  <si>
    <t xml:space="preserve">Інші субвенції з місцевого бюджету  </t>
  </si>
</sst>
</file>

<file path=xl/styles.xml><?xml version="1.0" encoding="utf-8"?>
<styleSheet xmlns="http://schemas.openxmlformats.org/spreadsheetml/2006/main">
  <numFmts count="6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_-;\-* #,##0_-;_-* &quot;-&quot;_-;_-@_-"/>
    <numFmt numFmtId="178" formatCode="_-* #,##0.00\ &quot;₴&quot;_-;\-* #,##0.00\ &quot;₴&quot;_-;_-* &quot;-&quot;??\ &quot;₴&quot;_-;_-@_-"/>
    <numFmt numFmtId="179" formatCode="_-* #,##0.00_-;\-* #,##0.00_-;_-* &quot;-&quot;??_-;_-@_-"/>
    <numFmt numFmtId="180" formatCode="_-* #,##0\ _₴_-;\-* #,##0\ _₴_-;_-* &quot;-&quot;\ _₴_-;_-@_-"/>
    <numFmt numFmtId="181" formatCode="_-* #,##0.00\ _₴_-;\-* #,##0.00\ _₴_-;_-* &quot;-&quot;??\ _₴_-;_-@_-"/>
    <numFmt numFmtId="182" formatCode="#,##0\ &quot;₽&quot;;\-#,##0\ &quot;₽&quot;"/>
    <numFmt numFmtId="183" formatCode="#,##0\ &quot;₽&quot;;[Red]\-#,##0\ &quot;₽&quot;"/>
    <numFmt numFmtId="184" formatCode="#,##0.00\ &quot;₽&quot;;\-#,##0.00\ &quot;₽&quot;"/>
    <numFmt numFmtId="185" formatCode="#,##0.00\ &quot;₽&quot;;[Red]\-#,##0.00\ &quot;₽&quot;"/>
    <numFmt numFmtId="186" formatCode="_-* #,##0\ &quot;₽&quot;_-;\-* #,##0\ &quot;₽&quot;_-;_-* &quot;-&quot;\ &quot;₽&quot;_-;_-@_-"/>
    <numFmt numFmtId="187" formatCode="_-* #,##0\ _₽_-;\-* #,##0\ _₽_-;_-* &quot;-&quot;\ _₽_-;_-@_-"/>
    <numFmt numFmtId="188" formatCode="_-* #,##0.00\ &quot;₽&quot;_-;\-* #,##0.00\ &quot;₽&quot;_-;_-* &quot;-&quot;??\ &quot;₽&quot;_-;_-@_-"/>
    <numFmt numFmtId="189" formatCode="_-* #,##0.00\ _₽_-;\-* #,##0.00\ _₽_-;_-* &quot;-&quot;??\ _₽_-;_-@_-"/>
    <numFmt numFmtId="190" formatCode="_-* #,##0.00\ _р_._-;\-* #,##0.00\ _р_._-;_-* &quot;-&quot;??\ _р_._-;_-@_-"/>
    <numFmt numFmtId="191" formatCode="00"/>
    <numFmt numFmtId="192" formatCode="0.0"/>
    <numFmt numFmtId="193" formatCode="#,##0.0"/>
    <numFmt numFmtId="194" formatCode="_-* #,##0.0\ _р_._-;\-* #,##0.0\ _р_._-;_-* &quot;-&quot;??\ _р_._-;_-@_-"/>
    <numFmt numFmtId="195" formatCode="0.0%"/>
    <numFmt numFmtId="196" formatCode="0.0000000"/>
    <numFmt numFmtId="197" formatCode="0.000000"/>
    <numFmt numFmtId="198" formatCode="0.00000"/>
    <numFmt numFmtId="199" formatCode="0.0000"/>
    <numFmt numFmtId="200" formatCode="0.000"/>
    <numFmt numFmtId="201" formatCode="_-* #,##0.0_р_._-;\-* #,##0.0_р_._-;_-* &quot;-&quot;?_р_._-;_-@_-"/>
    <numFmt numFmtId="202" formatCode="&quot;Да&quot;;&quot;Да&quot;;&quot;Нет&quot;"/>
    <numFmt numFmtId="203" formatCode="&quot;Истина&quot;;&quot;Истина&quot;;&quot;Ложь&quot;"/>
    <numFmt numFmtId="204" formatCode="&quot;Вкл&quot;;&quot;Вкл&quot;;&quot;Выкл&quot;"/>
    <numFmt numFmtId="205" formatCode="[$€-2]\ ###,000_);[Red]\([$€-2]\ ###,000\)"/>
    <numFmt numFmtId="206" formatCode="_-* #,##0.0_р_._-;\-* #,##0.0_р_._-;_-* &quot;-&quot;??_р_._-;_-@_-"/>
    <numFmt numFmtId="207" formatCode="_-* #,##0_р_._-;\-* #,##0_р_._-;_-* &quot;-&quot;??_р_._-;_-@_-"/>
    <numFmt numFmtId="208" formatCode="#,##0.0_р_."/>
    <numFmt numFmtId="209" formatCode="#,##0.000"/>
    <numFmt numFmtId="210" formatCode="0.00000000"/>
    <numFmt numFmtId="211" formatCode="#,##0.0000"/>
    <numFmt numFmtId="212" formatCode="#,##0.00000"/>
    <numFmt numFmtId="213" formatCode="#,##0.000000"/>
    <numFmt numFmtId="214" formatCode="[$-422]d\ mmmm\ yyyy&quot; р.&quot;"/>
    <numFmt numFmtId="215" formatCode="_-* #,##0.0\ _₴_-;\-* #,##0.0\ _₴_-;_-* &quot;-&quot;?\ _₴_-;_-@_-"/>
    <numFmt numFmtId="216" formatCode="_-* #,##0\ _р_._-;\-* #,##0\ _р_._-;_-* &quot;-&quot;??\ _р_._-;_-@_-"/>
    <numFmt numFmtId="217" formatCode="#,##0.0\ _₴"/>
    <numFmt numFmtId="218" formatCode="#,##0\ _₴"/>
  </numFmts>
  <fonts count="91">
    <font>
      <sz val="12"/>
      <name val="UkrainianLazurski"/>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Times New Roman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0"/>
      <name val="Arial Cyr"/>
      <family val="0"/>
    </font>
    <font>
      <sz val="11"/>
      <color indexed="17"/>
      <name val="Calibri"/>
      <family val="2"/>
    </font>
    <font>
      <b/>
      <sz val="18"/>
      <name val="Cambria"/>
      <family val="2"/>
    </font>
    <font>
      <sz val="11"/>
      <name val="Arial Cyr"/>
      <family val="2"/>
    </font>
    <font>
      <b/>
      <sz val="14"/>
      <name val="Times New Roman"/>
      <family val="1"/>
    </font>
    <font>
      <b/>
      <sz val="11"/>
      <name val="Arial Cyr"/>
      <family val="2"/>
    </font>
    <font>
      <sz val="12"/>
      <name val="Arial Cyr"/>
      <family val="2"/>
    </font>
    <font>
      <b/>
      <sz val="13"/>
      <color indexed="10"/>
      <name val="Arbat"/>
      <family val="0"/>
    </font>
    <font>
      <sz val="11"/>
      <color indexed="10"/>
      <name val="Arial Cyr"/>
      <family val="2"/>
    </font>
    <font>
      <sz val="12"/>
      <name val="Arial"/>
      <family val="2"/>
    </font>
    <font>
      <b/>
      <sz val="12"/>
      <name val="Arial Cyr"/>
      <family val="0"/>
    </font>
    <font>
      <sz val="14"/>
      <name val="Arial Cyr"/>
      <family val="2"/>
    </font>
    <font>
      <sz val="9"/>
      <name val="Arial CYR"/>
      <family val="2"/>
    </font>
    <font>
      <i/>
      <sz val="12"/>
      <name val="Arial Cyr"/>
      <family val="2"/>
    </font>
    <font>
      <b/>
      <sz val="12"/>
      <name val="Arial Black"/>
      <family val="2"/>
    </font>
    <font>
      <sz val="14"/>
      <name val="Times New Roman"/>
      <family val="1"/>
    </font>
    <font>
      <i/>
      <sz val="14"/>
      <name val="Times New Roman"/>
      <family val="1"/>
    </font>
    <font>
      <i/>
      <sz val="14"/>
      <color indexed="9"/>
      <name val="Times New Roman"/>
      <family val="1"/>
    </font>
    <font>
      <sz val="14"/>
      <color indexed="9"/>
      <name val="Times New Roman"/>
      <family val="1"/>
    </font>
    <font>
      <b/>
      <sz val="14"/>
      <color indexed="9"/>
      <name val="Times New Roman"/>
      <family val="1"/>
    </font>
    <font>
      <i/>
      <sz val="14"/>
      <name val="Arial Cyr"/>
      <family val="2"/>
    </font>
    <font>
      <sz val="8"/>
      <name val="Verdana"/>
      <family val="2"/>
    </font>
    <font>
      <b/>
      <sz val="14"/>
      <name val="Arial Cyr"/>
      <family val="2"/>
    </font>
    <font>
      <b/>
      <i/>
      <sz val="14"/>
      <name val="Arial Cyr"/>
      <family val="0"/>
    </font>
    <font>
      <b/>
      <sz val="12"/>
      <name val="Arial"/>
      <family val="2"/>
    </font>
    <font>
      <i/>
      <sz val="12"/>
      <name val="Arial"/>
      <family val="2"/>
    </font>
    <font>
      <b/>
      <sz val="8"/>
      <name val="Verdana"/>
      <family val="2"/>
    </font>
    <font>
      <b/>
      <sz val="20"/>
      <name val="Times New Roman"/>
      <family val="1"/>
    </font>
    <font>
      <sz val="20"/>
      <name val="Times New Roman"/>
      <family val="1"/>
    </font>
    <font>
      <b/>
      <i/>
      <sz val="12"/>
      <name val="Arial Cyr"/>
      <family val="0"/>
    </font>
    <font>
      <b/>
      <sz val="9"/>
      <name val="Times New Roman"/>
      <family val="1"/>
    </font>
    <font>
      <b/>
      <sz val="9"/>
      <name val="Arial Cyr"/>
      <family val="2"/>
    </font>
    <font>
      <b/>
      <u val="single"/>
      <sz val="12"/>
      <name val="Arial Cyr"/>
      <family val="0"/>
    </font>
    <font>
      <u val="single"/>
      <sz val="9"/>
      <color indexed="12"/>
      <name val="UkrainianLazurski"/>
      <family val="0"/>
    </font>
    <font>
      <u val="single"/>
      <sz val="9"/>
      <color indexed="36"/>
      <name val="UkrainianLazurski"/>
      <family val="0"/>
    </font>
    <font>
      <b/>
      <sz val="13"/>
      <name val="Arial Cyr"/>
      <family val="2"/>
    </font>
    <font>
      <b/>
      <sz val="13"/>
      <name val="Arbat"/>
      <family val="0"/>
    </font>
    <font>
      <sz val="12"/>
      <name val="Times New Roman"/>
      <family val="1"/>
    </font>
    <font>
      <sz val="11"/>
      <name val="Arial"/>
      <family val="2"/>
    </font>
    <font>
      <sz val="12"/>
      <name val="Verdana"/>
      <family val="2"/>
    </font>
    <font>
      <b/>
      <sz val="16"/>
      <name val="Arial Cyr"/>
      <family val="0"/>
    </font>
    <font>
      <sz val="14"/>
      <color indexed="10"/>
      <name val="Arial Cyr"/>
      <family val="2"/>
    </font>
    <font>
      <sz val="12"/>
      <color indexed="10"/>
      <name val="Arial Cyr"/>
      <family val="2"/>
    </font>
    <font>
      <b/>
      <sz val="11"/>
      <color indexed="10"/>
      <name val="Arial Cyr"/>
      <family val="2"/>
    </font>
    <font>
      <b/>
      <sz val="14"/>
      <color indexed="10"/>
      <name val="Arial Cyr"/>
      <family val="0"/>
    </font>
    <font>
      <sz val="20"/>
      <color indexed="10"/>
      <name val="Times New Roman"/>
      <family val="1"/>
    </font>
    <font>
      <sz val="9"/>
      <color indexed="10"/>
      <name val="Arial CYR"/>
      <family val="2"/>
    </font>
    <font>
      <b/>
      <sz val="16"/>
      <name val="Times New Roman"/>
      <family val="1"/>
    </font>
    <font>
      <b/>
      <sz val="18"/>
      <color indexed="10"/>
      <name val="Times New Roman"/>
      <family val="1"/>
    </font>
    <font>
      <sz val="8"/>
      <name val="UkrainianLazurski"/>
      <family val="0"/>
    </font>
    <font>
      <sz val="16"/>
      <name val="Arial Cyr"/>
      <family val="2"/>
    </font>
    <font>
      <sz val="14"/>
      <color indexed="10"/>
      <name val="Times New Roman"/>
      <family val="1"/>
    </font>
    <font>
      <b/>
      <sz val="12"/>
      <name val="Times New Roman"/>
      <family val="1"/>
    </font>
    <font>
      <sz val="12"/>
      <color indexed="10"/>
      <name val="Times New Roman"/>
      <family val="1"/>
    </font>
    <font>
      <i/>
      <sz val="12"/>
      <name val="Times New Roman"/>
      <family val="1"/>
    </font>
    <font>
      <sz val="11"/>
      <name val="Times New Roman"/>
      <family val="1"/>
    </font>
    <font>
      <sz val="11"/>
      <color indexed="10"/>
      <name val="Times New Roman"/>
      <family val="1"/>
    </font>
    <font>
      <b/>
      <sz val="11"/>
      <name val="Times New Roman"/>
      <family val="1"/>
    </font>
    <font>
      <b/>
      <sz val="11"/>
      <color indexed="10"/>
      <name val="Times New Roman"/>
      <family val="1"/>
    </font>
    <font>
      <sz val="16"/>
      <name val="Times New Roman"/>
      <family val="1"/>
    </font>
    <font>
      <sz val="8"/>
      <name val="Times New Roman"/>
      <family val="1"/>
    </font>
    <font>
      <b/>
      <sz val="8"/>
      <name val="Times New Roman"/>
      <family val="1"/>
    </font>
    <font>
      <b/>
      <sz val="18"/>
      <name val="Times New Roman"/>
      <family val="1"/>
    </font>
    <font>
      <b/>
      <sz val="13"/>
      <name val="Times New Roman"/>
      <family val="1"/>
    </font>
    <font>
      <b/>
      <sz val="13"/>
      <color indexed="10"/>
      <name val="Times New Roman"/>
      <family val="1"/>
    </font>
    <font>
      <b/>
      <i/>
      <sz val="12"/>
      <name val="Times New Roman"/>
      <family val="1"/>
    </font>
    <font>
      <b/>
      <i/>
      <sz val="14"/>
      <name val="Times New Roman"/>
      <family val="1"/>
    </font>
    <font>
      <b/>
      <i/>
      <sz val="18"/>
      <name val="Times New Roman"/>
      <family val="1"/>
    </font>
    <font>
      <b/>
      <i/>
      <sz val="18"/>
      <name val="UkrainianLazurski"/>
      <family val="0"/>
    </font>
    <font>
      <b/>
      <i/>
      <sz val="16"/>
      <name val="Times New Roman"/>
      <family val="1"/>
    </font>
    <font>
      <b/>
      <i/>
      <sz val="11"/>
      <name val="Times New Roman"/>
      <family val="1"/>
    </font>
    <font>
      <b/>
      <i/>
      <sz val="11"/>
      <color indexed="10"/>
      <name val="Times New Roman"/>
      <family val="1"/>
    </font>
    <font>
      <b/>
      <i/>
      <sz val="14"/>
      <color indexed="9"/>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17"/>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right style="thin"/>
      <top style="thin"/>
      <bottom style="thin"/>
    </border>
    <border>
      <left style="thin"/>
      <right style="thin"/>
      <top/>
      <bottom style="thin"/>
    </border>
    <border>
      <left/>
      <right style="thin"/>
      <top style="thin"/>
      <bottom style="thin"/>
    </border>
    <border>
      <left style="thin"/>
      <right style="thin"/>
      <top/>
      <bottom/>
    </border>
    <border>
      <left style="thin"/>
      <right/>
      <top style="thin"/>
      <bottom style="thin"/>
    </border>
    <border>
      <left/>
      <right/>
      <top style="thin"/>
      <bottom style="thin"/>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right/>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5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8" fillId="0" borderId="0">
      <alignment/>
      <protection/>
    </xf>
    <xf numFmtId="0" fontId="0" fillId="0" borderId="0">
      <alignment/>
      <protection/>
    </xf>
    <xf numFmtId="0" fontId="13" fillId="0" borderId="0">
      <alignment/>
      <protection/>
    </xf>
    <xf numFmtId="0" fontId="52" fillId="0" borderId="0" applyNumberForma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169" fontId="18" fillId="0" borderId="0" applyFont="0" applyFill="0" applyBorder="0" applyAlignment="0" applyProtection="0"/>
    <xf numFmtId="171" fontId="18" fillId="0" borderId="0" applyFont="0" applyFill="0" applyBorder="0" applyAlignment="0" applyProtection="0"/>
    <xf numFmtId="190" fontId="0" fillId="0" borderId="0" applyFont="0" applyFill="0" applyBorder="0" applyAlignment="0" applyProtection="0"/>
    <xf numFmtId="41" fontId="0" fillId="0" borderId="0" applyFont="0" applyFill="0" applyBorder="0" applyAlignment="0" applyProtection="0"/>
    <xf numFmtId="0" fontId="19" fillId="4" borderId="0" applyNumberFormat="0" applyBorder="0" applyAlignment="0" applyProtection="0"/>
  </cellStyleXfs>
  <cellXfs count="871">
    <xf numFmtId="0" fontId="0" fillId="0" borderId="0" xfId="0" applyAlignment="1">
      <alignment/>
    </xf>
    <xf numFmtId="193" fontId="33" fillId="0" borderId="10" xfId="54" applyNumberFormat="1" applyFont="1" applyFill="1" applyBorder="1" applyAlignment="1">
      <alignment horizontal="right" vertical="center" wrapText="1"/>
      <protection/>
    </xf>
    <xf numFmtId="193" fontId="36" fillId="0" borderId="10" xfId="54" applyNumberFormat="1" applyFont="1" applyFill="1" applyBorder="1" applyAlignment="1">
      <alignment horizontal="right" vertical="center" wrapText="1"/>
      <protection/>
    </xf>
    <xf numFmtId="193" fontId="33" fillId="24" borderId="10" xfId="54" applyNumberFormat="1" applyFont="1" applyFill="1" applyBorder="1" applyAlignment="1">
      <alignment horizontal="right" vertical="center" wrapText="1"/>
      <protection/>
    </xf>
    <xf numFmtId="0" fontId="24" fillId="24" borderId="10" xfId="0" applyFont="1" applyFill="1" applyBorder="1" applyAlignment="1" applyProtection="1">
      <alignment horizontal="center" vertical="center" wrapText="1"/>
      <protection/>
    </xf>
    <xf numFmtId="1" fontId="31" fillId="24" borderId="11" xfId="54" applyNumberFormat="1" applyFont="1" applyFill="1" applyBorder="1" applyAlignment="1">
      <alignment horizontal="center" vertical="center" wrapText="1"/>
      <protection/>
    </xf>
    <xf numFmtId="193" fontId="22" fillId="24" borderId="10" xfId="54" applyNumberFormat="1" applyFont="1" applyFill="1" applyBorder="1" applyAlignment="1">
      <alignment horizontal="right" vertical="center"/>
      <protection/>
    </xf>
    <xf numFmtId="193" fontId="33" fillId="24" borderId="10" xfId="54" applyNumberFormat="1" applyFont="1" applyFill="1" applyBorder="1" applyAlignment="1">
      <alignment vertical="center" wrapText="1"/>
      <protection/>
    </xf>
    <xf numFmtId="193" fontId="34" fillId="24" borderId="10" xfId="54" applyNumberFormat="1" applyFont="1" applyFill="1" applyBorder="1" applyAlignment="1">
      <alignment horizontal="right" vertical="center" wrapText="1"/>
      <protection/>
    </xf>
    <xf numFmtId="193" fontId="22" fillId="24" borderId="10" xfId="54" applyNumberFormat="1" applyFont="1" applyFill="1" applyBorder="1" applyAlignment="1">
      <alignment horizontal="right" vertical="center" wrapText="1"/>
      <protection/>
    </xf>
    <xf numFmtId="193" fontId="22" fillId="24" borderId="10" xfId="54" applyNumberFormat="1" applyFont="1" applyFill="1" applyBorder="1" applyAlignment="1">
      <alignment vertical="center" wrapText="1"/>
      <protection/>
    </xf>
    <xf numFmtId="193" fontId="22" fillId="24" borderId="0" xfId="54" applyNumberFormat="1" applyFont="1" applyFill="1" applyBorder="1" applyAlignment="1">
      <alignment vertical="center" wrapText="1"/>
      <protection/>
    </xf>
    <xf numFmtId="193" fontId="47" fillId="24" borderId="0" xfId="54" applyNumberFormat="1" applyFont="1" applyFill="1">
      <alignment/>
      <protection/>
    </xf>
    <xf numFmtId="0" fontId="46" fillId="24" borderId="0" xfId="54" applyFont="1" applyFill="1" applyAlignment="1">
      <alignment wrapText="1"/>
      <protection/>
    </xf>
    <xf numFmtId="193" fontId="36" fillId="24" borderId="10" xfId="54" applyNumberFormat="1" applyFont="1" applyFill="1" applyBorder="1" applyAlignment="1">
      <alignment horizontal="right" vertical="center"/>
      <protection/>
    </xf>
    <xf numFmtId="0" fontId="21" fillId="24" borderId="0" xfId="54" applyFont="1" applyFill="1">
      <alignment/>
      <protection/>
    </xf>
    <xf numFmtId="192" fontId="45" fillId="24" borderId="0" xfId="54" applyNumberFormat="1" applyFont="1" applyFill="1" applyAlignment="1" applyProtection="1">
      <alignment horizontal="left" vertical="center"/>
      <protection/>
    </xf>
    <xf numFmtId="192" fontId="24" fillId="24" borderId="0" xfId="54" applyNumberFormat="1" applyFont="1" applyFill="1" applyAlignment="1" applyProtection="1">
      <alignment horizontal="center"/>
      <protection/>
    </xf>
    <xf numFmtId="193" fontId="21" fillId="24" borderId="0" xfId="54" applyNumberFormat="1" applyFont="1" applyFill="1">
      <alignment/>
      <protection/>
    </xf>
    <xf numFmtId="0" fontId="24" fillId="24" borderId="10" xfId="54" applyFont="1" applyFill="1" applyBorder="1" applyAlignment="1">
      <alignment horizontal="center" vertical="center" wrapText="1"/>
      <protection/>
    </xf>
    <xf numFmtId="1" fontId="24" fillId="24" borderId="10" xfId="54" applyNumberFormat="1" applyFont="1" applyFill="1" applyBorder="1" applyAlignment="1">
      <alignment horizontal="center" vertical="center" wrapText="1"/>
      <protection/>
    </xf>
    <xf numFmtId="192" fontId="21" fillId="24" borderId="0" xfId="54" applyNumberFormat="1" applyFont="1" applyFill="1" applyAlignment="1">
      <alignment horizontal="center" vertical="center"/>
      <protection/>
    </xf>
    <xf numFmtId="193" fontId="34" fillId="24" borderId="10" xfId="54" applyNumberFormat="1" applyFont="1" applyFill="1" applyBorder="1" applyAlignment="1">
      <alignment vertical="center" wrapText="1"/>
      <protection/>
    </xf>
    <xf numFmtId="0" fontId="24" fillId="24" borderId="10" xfId="0" applyFont="1" applyFill="1" applyBorder="1" applyAlignment="1">
      <alignment horizontal="justify" wrapText="1"/>
    </xf>
    <xf numFmtId="0" fontId="24" fillId="24" borderId="10" xfId="0" applyFont="1" applyFill="1" applyBorder="1" applyAlignment="1">
      <alignment horizontal="center" vertical="center"/>
    </xf>
    <xf numFmtId="193" fontId="33" fillId="24" borderId="10" xfId="54" applyNumberFormat="1" applyFont="1" applyFill="1" applyBorder="1" applyAlignment="1">
      <alignment horizontal="right" vertical="center"/>
      <protection/>
    </xf>
    <xf numFmtId="1" fontId="24" fillId="24" borderId="10" xfId="55" applyNumberFormat="1" applyFont="1" applyFill="1" applyBorder="1" applyAlignment="1" applyProtection="1">
      <alignment horizontal="justify" vertical="top" wrapText="1"/>
      <protection locked="0"/>
    </xf>
    <xf numFmtId="191" fontId="24" fillId="24" borderId="10" xfId="54" applyNumberFormat="1" applyFont="1" applyFill="1" applyBorder="1" applyAlignment="1">
      <alignment horizontal="center" vertical="center" wrapText="1"/>
      <protection/>
    </xf>
    <xf numFmtId="0" fontId="24" fillId="24" borderId="10" xfId="0" applyFont="1" applyFill="1" applyBorder="1" applyAlignment="1">
      <alignment horizontal="justify" vertical="top" wrapText="1"/>
    </xf>
    <xf numFmtId="1" fontId="24" fillId="24" borderId="10" xfId="55" applyNumberFormat="1" applyFont="1" applyFill="1" applyBorder="1" applyAlignment="1" applyProtection="1">
      <alignment horizontal="justify" vertical="top" wrapText="1"/>
      <protection locked="0"/>
    </xf>
    <xf numFmtId="191" fontId="24" fillId="24" borderId="10" xfId="54" applyNumberFormat="1" applyFont="1" applyFill="1" applyBorder="1" applyAlignment="1">
      <alignment horizontal="center" vertical="center" wrapText="1"/>
      <protection/>
    </xf>
    <xf numFmtId="1" fontId="24" fillId="24" borderId="10" xfId="55" applyNumberFormat="1" applyFont="1" applyFill="1" applyBorder="1" applyAlignment="1" applyProtection="1">
      <alignment horizontal="left" vertical="top" wrapText="1"/>
      <protection locked="0"/>
    </xf>
    <xf numFmtId="0" fontId="27" fillId="24" borderId="10" xfId="0" applyNumberFormat="1" applyFont="1" applyFill="1" applyBorder="1" applyAlignment="1" applyProtection="1">
      <alignment vertical="top" wrapText="1"/>
      <protection/>
    </xf>
    <xf numFmtId="191" fontId="31" fillId="24" borderId="10" xfId="54" applyNumberFormat="1" applyFont="1" applyFill="1" applyBorder="1" applyAlignment="1">
      <alignment horizontal="center" vertical="center" wrapText="1"/>
      <protection/>
    </xf>
    <xf numFmtId="193" fontId="35" fillId="24" borderId="10" xfId="54" applyNumberFormat="1" applyFont="1" applyFill="1" applyBorder="1" applyAlignment="1">
      <alignment horizontal="right" vertical="center"/>
      <protection/>
    </xf>
    <xf numFmtId="0" fontId="43" fillId="24" borderId="10" xfId="55" applyNumberFormat="1" applyFont="1" applyFill="1" applyBorder="1" applyAlignment="1" applyProtection="1">
      <alignment horizontal="justify" vertical="top" wrapText="1"/>
      <protection locked="0"/>
    </xf>
    <xf numFmtId="193" fontId="34" fillId="24" borderId="10" xfId="54" applyNumberFormat="1" applyFont="1" applyFill="1" applyBorder="1" applyAlignment="1">
      <alignment horizontal="right" vertical="center"/>
      <protection/>
    </xf>
    <xf numFmtId="0" fontId="24" fillId="24" borderId="10" xfId="53" applyFont="1" applyFill="1" applyBorder="1" applyAlignment="1">
      <alignment horizontal="justify" vertical="center" wrapText="1"/>
      <protection/>
    </xf>
    <xf numFmtId="0" fontId="27" fillId="24" borderId="10" xfId="55" applyNumberFormat="1" applyFont="1" applyFill="1" applyBorder="1" applyAlignment="1" applyProtection="1">
      <alignment horizontal="justify" vertical="top" wrapText="1"/>
      <protection locked="0"/>
    </xf>
    <xf numFmtId="0" fontId="24" fillId="24" borderId="10" xfId="0" applyNumberFormat="1" applyFont="1" applyFill="1" applyBorder="1" applyAlignment="1">
      <alignment horizontal="justify" vertical="top" wrapText="1"/>
    </xf>
    <xf numFmtId="1" fontId="43" fillId="24" borderId="12" xfId="55" applyNumberFormat="1" applyFont="1" applyFill="1" applyBorder="1" applyAlignment="1" applyProtection="1">
      <alignment horizontal="center" vertical="center" wrapText="1"/>
      <protection locked="0"/>
    </xf>
    <xf numFmtId="2" fontId="27" fillId="24" borderId="10" xfId="0" applyNumberFormat="1" applyFont="1" applyFill="1" applyBorder="1" applyAlignment="1">
      <alignment horizontal="justify" vertical="top" wrapText="1"/>
    </xf>
    <xf numFmtId="1" fontId="27" fillId="24" borderId="12" xfId="55" applyNumberFormat="1" applyFont="1" applyFill="1" applyBorder="1" applyAlignment="1" applyProtection="1">
      <alignment horizontal="center" vertical="center" wrapText="1"/>
      <protection locked="0"/>
    </xf>
    <xf numFmtId="191" fontId="28" fillId="24" borderId="10" xfId="54" applyNumberFormat="1" applyFont="1" applyFill="1" applyBorder="1" applyAlignment="1">
      <alignment horizontal="center" vertical="center" wrapText="1"/>
      <protection/>
    </xf>
    <xf numFmtId="193" fontId="22" fillId="24" borderId="10" xfId="54" applyNumberFormat="1" applyFont="1" applyFill="1" applyBorder="1" applyAlignment="1">
      <alignment horizontal="center" vertical="center"/>
      <protection/>
    </xf>
    <xf numFmtId="193" fontId="22" fillId="24" borderId="10" xfId="54" applyNumberFormat="1" applyFont="1" applyFill="1" applyBorder="1" applyAlignment="1">
      <alignment horizontal="center" vertical="center" wrapText="1"/>
      <protection/>
    </xf>
    <xf numFmtId="0" fontId="28" fillId="24" borderId="10" xfId="55" applyFont="1" applyFill="1" applyBorder="1" applyAlignment="1" applyProtection="1">
      <alignment horizontal="justify" vertical="top" wrapText="1"/>
      <protection/>
    </xf>
    <xf numFmtId="1" fontId="28" fillId="24" borderId="10" xfId="54" applyNumberFormat="1" applyFont="1" applyFill="1" applyBorder="1" applyAlignment="1">
      <alignment horizontal="center" vertical="center" wrapText="1"/>
      <protection/>
    </xf>
    <xf numFmtId="1" fontId="28" fillId="24" borderId="10" xfId="54" applyNumberFormat="1" applyFont="1" applyFill="1" applyBorder="1" applyAlignment="1" applyProtection="1">
      <alignment horizontal="justify" vertical="top" wrapText="1"/>
      <protection locked="0"/>
    </xf>
    <xf numFmtId="193" fontId="37" fillId="24" borderId="10" xfId="54" applyNumberFormat="1" applyFont="1" applyFill="1" applyBorder="1" applyAlignment="1">
      <alignment vertical="center" wrapText="1"/>
      <protection/>
    </xf>
    <xf numFmtId="193" fontId="37" fillId="24" borderId="10" xfId="54" applyNumberFormat="1" applyFont="1" applyFill="1" applyBorder="1" applyAlignment="1">
      <alignment horizontal="right" vertical="center"/>
      <protection/>
    </xf>
    <xf numFmtId="1" fontId="24" fillId="24" borderId="10" xfId="54" applyNumberFormat="1" applyFont="1" applyFill="1" applyBorder="1" applyAlignment="1">
      <alignment horizontal="justify" vertical="top" wrapText="1"/>
      <protection/>
    </xf>
    <xf numFmtId="193" fontId="36" fillId="24" borderId="10" xfId="54" applyNumberFormat="1" applyFont="1" applyFill="1" applyBorder="1" applyAlignment="1">
      <alignment vertical="center"/>
      <protection/>
    </xf>
    <xf numFmtId="1" fontId="28" fillId="24" borderId="10" xfId="54" applyNumberFormat="1" applyFont="1" applyFill="1" applyBorder="1" applyAlignment="1">
      <alignment horizontal="justify" vertical="top" wrapText="1"/>
      <protection/>
    </xf>
    <xf numFmtId="193" fontId="37" fillId="24" borderId="10" xfId="54" applyNumberFormat="1" applyFont="1" applyFill="1" applyBorder="1" applyAlignment="1">
      <alignment vertical="center"/>
      <protection/>
    </xf>
    <xf numFmtId="191" fontId="28" fillId="24" borderId="10" xfId="54" applyNumberFormat="1" applyFont="1" applyFill="1" applyBorder="1" applyAlignment="1">
      <alignment horizontal="center" vertical="center" wrapText="1"/>
      <protection/>
    </xf>
    <xf numFmtId="1" fontId="24" fillId="24" borderId="10" xfId="54" applyNumberFormat="1" applyFont="1" applyFill="1" applyBorder="1" applyAlignment="1" applyProtection="1">
      <alignment horizontal="justify" vertical="top" wrapText="1"/>
      <protection locked="0"/>
    </xf>
    <xf numFmtId="193" fontId="36" fillId="24" borderId="10" xfId="54" applyNumberFormat="1" applyFont="1" applyFill="1" applyBorder="1" applyAlignment="1">
      <alignment vertical="center" wrapText="1"/>
      <protection/>
    </xf>
    <xf numFmtId="1" fontId="24" fillId="24" borderId="10" xfId="54" applyNumberFormat="1" applyFont="1" applyFill="1" applyBorder="1" applyAlignment="1" applyProtection="1">
      <alignment horizontal="justify" vertical="top" wrapText="1"/>
      <protection/>
    </xf>
    <xf numFmtId="1" fontId="31" fillId="24" borderId="10" xfId="55" applyNumberFormat="1" applyFont="1" applyFill="1" applyBorder="1" applyAlignment="1" applyProtection="1">
      <alignment horizontal="justify" vertical="top" wrapText="1"/>
      <protection locked="0"/>
    </xf>
    <xf numFmtId="193" fontId="35" fillId="24" borderId="10" xfId="54" applyNumberFormat="1" applyFont="1" applyFill="1" applyBorder="1" applyAlignment="1">
      <alignment vertical="center"/>
      <protection/>
    </xf>
    <xf numFmtId="1" fontId="28" fillId="24" borderId="10" xfId="55" applyNumberFormat="1" applyFont="1" applyFill="1" applyBorder="1" applyAlignment="1" applyProtection="1">
      <alignment horizontal="justify" vertical="top" wrapText="1"/>
      <protection locked="0"/>
    </xf>
    <xf numFmtId="193" fontId="22" fillId="24" borderId="10" xfId="54" applyNumberFormat="1" applyFont="1" applyFill="1" applyBorder="1" applyAlignment="1">
      <alignment vertical="center"/>
      <protection/>
    </xf>
    <xf numFmtId="193" fontId="33" fillId="24" borderId="10" xfId="54" applyNumberFormat="1" applyFont="1" applyFill="1" applyBorder="1" applyAlignment="1">
      <alignment vertical="center"/>
      <protection/>
    </xf>
    <xf numFmtId="1" fontId="31" fillId="24" borderId="10" xfId="54" applyNumberFormat="1" applyFont="1" applyFill="1" applyBorder="1" applyAlignment="1" applyProtection="1">
      <alignment horizontal="justify" vertical="top" wrapText="1"/>
      <protection/>
    </xf>
    <xf numFmtId="193" fontId="34" fillId="24" borderId="10" xfId="54" applyNumberFormat="1" applyFont="1" applyFill="1" applyBorder="1" applyAlignment="1">
      <alignment vertical="center"/>
      <protection/>
    </xf>
    <xf numFmtId="49" fontId="42" fillId="24" borderId="10" xfId="0" applyNumberFormat="1" applyFont="1" applyFill="1" applyBorder="1" applyAlignment="1" applyProtection="1">
      <alignment horizontal="justify" vertical="top" wrapText="1"/>
      <protection/>
    </xf>
    <xf numFmtId="1" fontId="42" fillId="24" borderId="10" xfId="0" applyNumberFormat="1" applyFont="1" applyFill="1" applyBorder="1" applyAlignment="1">
      <alignment horizontal="center" vertical="center" wrapText="1"/>
    </xf>
    <xf numFmtId="49" fontId="27" fillId="24" borderId="10" xfId="0" applyNumberFormat="1" applyFont="1" applyFill="1" applyBorder="1" applyAlignment="1" applyProtection="1">
      <alignment horizontal="justify" vertical="top" wrapText="1"/>
      <protection/>
    </xf>
    <xf numFmtId="1" fontId="27" fillId="24" borderId="10" xfId="0" applyNumberFormat="1" applyFont="1" applyFill="1" applyBorder="1" applyAlignment="1">
      <alignment horizontal="center" vertical="center" wrapText="1"/>
    </xf>
    <xf numFmtId="49" fontId="43" fillId="24" borderId="10" xfId="0" applyNumberFormat="1" applyFont="1" applyFill="1" applyBorder="1" applyAlignment="1" applyProtection="1">
      <alignment horizontal="justify" vertical="top" wrapText="1"/>
      <protection/>
    </xf>
    <xf numFmtId="1" fontId="43" fillId="24" borderId="10" xfId="0" applyNumberFormat="1" applyFont="1" applyFill="1" applyBorder="1" applyAlignment="1">
      <alignment horizontal="center" vertical="center" wrapText="1"/>
    </xf>
    <xf numFmtId="1" fontId="28" fillId="24" borderId="10" xfId="54" applyNumberFormat="1" applyFont="1" applyFill="1" applyBorder="1" applyAlignment="1" applyProtection="1">
      <alignment horizontal="left" vertical="top" wrapText="1"/>
      <protection locked="0"/>
    </xf>
    <xf numFmtId="0" fontId="27" fillId="24" borderId="10" xfId="0" applyFont="1" applyFill="1" applyBorder="1" applyAlignment="1" applyProtection="1">
      <alignment horizontal="justify" vertical="top" wrapText="1"/>
      <protection/>
    </xf>
    <xf numFmtId="0" fontId="43" fillId="24" borderId="10" xfId="0" applyFont="1" applyFill="1" applyBorder="1" applyAlignment="1">
      <alignment horizontal="justify" vertical="top" wrapText="1"/>
    </xf>
    <xf numFmtId="1" fontId="43" fillId="24" borderId="10" xfId="55" applyNumberFormat="1" applyFont="1" applyFill="1" applyBorder="1" applyAlignment="1" applyProtection="1">
      <alignment horizontal="left" vertical="top" wrapText="1"/>
      <protection locked="0"/>
    </xf>
    <xf numFmtId="0" fontId="43" fillId="24" borderId="10" xfId="0" applyNumberFormat="1" applyFont="1" applyFill="1" applyBorder="1" applyAlignment="1">
      <alignment horizontal="justify" vertical="top" wrapText="1"/>
    </xf>
    <xf numFmtId="1" fontId="43" fillId="24" borderId="12" xfId="55" applyNumberFormat="1" applyFont="1" applyFill="1" applyBorder="1" applyAlignment="1" applyProtection="1">
      <alignment vertical="center" wrapText="1"/>
      <protection locked="0"/>
    </xf>
    <xf numFmtId="0" fontId="43" fillId="24" borderId="10" xfId="0" applyNumberFormat="1" applyFont="1" applyFill="1" applyBorder="1" applyAlignment="1">
      <alignment horizontal="left" vertical="top" wrapText="1"/>
    </xf>
    <xf numFmtId="1" fontId="24" fillId="24" borderId="0" xfId="54" applyNumberFormat="1" applyFont="1" applyFill="1" applyAlignment="1" applyProtection="1">
      <alignment horizontal="center"/>
      <protection/>
    </xf>
    <xf numFmtId="192" fontId="54" fillId="24" borderId="0" xfId="54" applyNumberFormat="1" applyFont="1" applyFill="1" applyAlignment="1">
      <alignment vertical="center"/>
      <protection/>
    </xf>
    <xf numFmtId="1" fontId="24" fillId="24" borderId="10" xfId="0" applyNumberFormat="1" applyFont="1" applyFill="1" applyBorder="1" applyAlignment="1">
      <alignment horizontal="center" vertical="center" wrapText="1"/>
    </xf>
    <xf numFmtId="193" fontId="24" fillId="24" borderId="0" xfId="54" applyNumberFormat="1" applyFont="1" applyFill="1" applyAlignment="1" applyProtection="1">
      <alignment horizontal="center"/>
      <protection/>
    </xf>
    <xf numFmtId="193" fontId="46" fillId="24" borderId="0" xfId="54" applyNumberFormat="1" applyFont="1" applyFill="1" applyAlignment="1" applyProtection="1">
      <alignment horizontal="center"/>
      <protection/>
    </xf>
    <xf numFmtId="194" fontId="30" fillId="24" borderId="0" xfId="65" applyNumberFormat="1" applyFont="1" applyFill="1" applyAlignment="1" applyProtection="1">
      <alignment horizontal="center"/>
      <protection/>
    </xf>
    <xf numFmtId="0" fontId="65" fillId="24" borderId="12" xfId="0" applyFont="1" applyFill="1" applyBorder="1" applyAlignment="1">
      <alignment/>
    </xf>
    <xf numFmtId="0" fontId="65" fillId="24" borderId="10" xfId="0" applyFont="1" applyFill="1" applyBorder="1" applyAlignment="1">
      <alignment/>
    </xf>
    <xf numFmtId="0" fontId="0" fillId="24" borderId="0" xfId="0" applyFill="1" applyAlignment="1">
      <alignment/>
    </xf>
    <xf numFmtId="192" fontId="58" fillId="24" borderId="0" xfId="54" applyNumberFormat="1" applyFont="1" applyFill="1" applyBorder="1">
      <alignment/>
      <protection/>
    </xf>
    <xf numFmtId="193" fontId="23" fillId="24" borderId="0" xfId="54" applyNumberFormat="1" applyFont="1" applyFill="1">
      <alignment/>
      <protection/>
    </xf>
    <xf numFmtId="0" fontId="61" fillId="24" borderId="13" xfId="54" applyFont="1" applyFill="1" applyBorder="1">
      <alignment/>
      <protection/>
    </xf>
    <xf numFmtId="0" fontId="24" fillId="24" borderId="0" xfId="54" applyFont="1" applyFill="1" applyAlignment="1">
      <alignment wrapText="1"/>
      <protection/>
    </xf>
    <xf numFmtId="0" fontId="29" fillId="24" borderId="0" xfId="54" applyFont="1" applyFill="1" applyAlignment="1">
      <alignment wrapText="1"/>
      <protection/>
    </xf>
    <xf numFmtId="193" fontId="36" fillId="24" borderId="10" xfId="54" applyNumberFormat="1" applyFont="1" applyFill="1" applyBorder="1" applyAlignment="1">
      <alignment horizontal="right" vertical="center"/>
      <protection/>
    </xf>
    <xf numFmtId="0" fontId="31" fillId="24" borderId="0" xfId="54" applyFont="1" applyFill="1" applyAlignment="1">
      <alignment wrapText="1"/>
      <protection/>
    </xf>
    <xf numFmtId="192" fontId="53" fillId="24" borderId="0" xfId="54" applyNumberFormat="1" applyFont="1" applyFill="1" applyAlignment="1">
      <alignment vertical="center"/>
      <protection/>
    </xf>
    <xf numFmtId="192" fontId="25" fillId="24" borderId="0" xfId="54" applyNumberFormat="1" applyFont="1" applyFill="1" applyAlignment="1">
      <alignment vertical="center"/>
      <protection/>
    </xf>
    <xf numFmtId="0" fontId="24" fillId="24" borderId="14" xfId="54" applyFont="1" applyFill="1" applyBorder="1" applyAlignment="1">
      <alignment horizontal="center" vertical="center" wrapText="1"/>
      <protection/>
    </xf>
    <xf numFmtId="0" fontId="31" fillId="24" borderId="10" xfId="54" applyFont="1" applyFill="1" applyBorder="1" applyAlignment="1">
      <alignment horizontal="center" vertical="center" wrapText="1"/>
      <protection/>
    </xf>
    <xf numFmtId="0" fontId="31" fillId="24" borderId="11" xfId="54" applyFont="1" applyFill="1" applyBorder="1" applyAlignment="1">
      <alignment horizontal="center" vertical="center" wrapText="1"/>
      <protection/>
    </xf>
    <xf numFmtId="208" fontId="22" fillId="24" borderId="10" xfId="54" applyNumberFormat="1" applyFont="1" applyFill="1" applyBorder="1" applyAlignment="1">
      <alignment vertical="center" wrapText="1"/>
      <protection/>
    </xf>
    <xf numFmtId="193" fontId="22" fillId="24" borderId="0" xfId="54" applyNumberFormat="1" applyFont="1" applyFill="1" applyBorder="1" applyAlignment="1">
      <alignment vertical="center"/>
      <protection/>
    </xf>
    <xf numFmtId="192" fontId="22" fillId="24" borderId="0" xfId="54" applyNumberFormat="1" applyFont="1" applyFill="1" applyBorder="1" applyAlignment="1">
      <alignment vertical="center" wrapText="1"/>
      <protection/>
    </xf>
    <xf numFmtId="1" fontId="28" fillId="24" borderId="0" xfId="55" applyNumberFormat="1" applyFont="1" applyFill="1" applyBorder="1" applyAlignment="1" applyProtection="1">
      <alignment horizontal="left" vertical="center" wrapText="1"/>
      <protection locked="0"/>
    </xf>
    <xf numFmtId="1" fontId="45" fillId="24" borderId="0" xfId="54" applyNumberFormat="1" applyFont="1" applyFill="1" applyAlignment="1" applyProtection="1">
      <alignment vertical="center"/>
      <protection/>
    </xf>
    <xf numFmtId="192" fontId="28" fillId="24" borderId="0" xfId="54" applyNumberFormat="1" applyFont="1" applyFill="1" applyBorder="1" applyAlignment="1">
      <alignment vertical="center"/>
      <protection/>
    </xf>
    <xf numFmtId="1" fontId="45" fillId="24" borderId="0" xfId="54" applyNumberFormat="1" applyFont="1" applyFill="1" applyAlignment="1" applyProtection="1">
      <alignment horizontal="center" vertical="center"/>
      <protection/>
    </xf>
    <xf numFmtId="193" fontId="53" fillId="24" borderId="0" xfId="54" applyNumberFormat="1" applyFont="1" applyFill="1" applyAlignment="1">
      <alignment vertical="center"/>
      <protection/>
    </xf>
    <xf numFmtId="193" fontId="55" fillId="24" borderId="0" xfId="54" applyNumberFormat="1" applyFont="1" applyFill="1" applyAlignment="1" applyProtection="1">
      <alignment horizontal="center"/>
      <protection/>
    </xf>
    <xf numFmtId="0" fontId="65" fillId="24" borderId="15" xfId="0" applyFont="1" applyFill="1" applyBorder="1" applyAlignment="1">
      <alignment/>
    </xf>
    <xf numFmtId="193" fontId="37" fillId="24" borderId="10" xfId="54" applyNumberFormat="1" applyFont="1" applyFill="1" applyBorder="1" applyAlignment="1">
      <alignment horizontal="right" vertical="center"/>
      <protection/>
    </xf>
    <xf numFmtId="193" fontId="35" fillId="24" borderId="10" xfId="54" applyNumberFormat="1" applyFont="1" applyFill="1" applyBorder="1" applyAlignment="1">
      <alignment horizontal="right" vertical="center"/>
      <protection/>
    </xf>
    <xf numFmtId="193" fontId="37" fillId="24" borderId="10" xfId="54" applyNumberFormat="1" applyFont="1" applyFill="1" applyBorder="1" applyAlignment="1">
      <alignment vertical="center"/>
      <protection/>
    </xf>
    <xf numFmtId="193" fontId="36" fillId="24" borderId="10" xfId="54" applyNumberFormat="1" applyFont="1" applyFill="1" applyBorder="1" applyAlignment="1">
      <alignment vertical="center"/>
      <protection/>
    </xf>
    <xf numFmtId="1" fontId="28" fillId="24" borderId="10" xfId="54" applyNumberFormat="1" applyFont="1" applyFill="1" applyBorder="1" applyAlignment="1">
      <alignment horizontal="left" vertical="top" wrapText="1"/>
      <protection/>
    </xf>
    <xf numFmtId="1" fontId="24" fillId="25" borderId="10" xfId="0" applyNumberFormat="1" applyFont="1" applyFill="1" applyBorder="1" applyAlignment="1">
      <alignment horizontal="center" vertical="center" wrapText="1"/>
    </xf>
    <xf numFmtId="192" fontId="58" fillId="25" borderId="0" xfId="54" applyNumberFormat="1" applyFont="1" applyFill="1" applyBorder="1">
      <alignment/>
      <protection/>
    </xf>
    <xf numFmtId="193" fontId="23" fillId="25" borderId="0" xfId="54" applyNumberFormat="1" applyFont="1" applyFill="1">
      <alignment/>
      <protection/>
    </xf>
    <xf numFmtId="0" fontId="61" fillId="25" borderId="13" xfId="54" applyFont="1" applyFill="1" applyBorder="1">
      <alignment/>
      <protection/>
    </xf>
    <xf numFmtId="0" fontId="24" fillId="25" borderId="0" xfId="54" applyFont="1" applyFill="1" applyAlignment="1">
      <alignment wrapText="1"/>
      <protection/>
    </xf>
    <xf numFmtId="0" fontId="0" fillId="24" borderId="0" xfId="0" applyFont="1" applyFill="1" applyAlignment="1">
      <alignment/>
    </xf>
    <xf numFmtId="193" fontId="36" fillId="24" borderId="10" xfId="54" applyNumberFormat="1" applyFont="1" applyFill="1" applyBorder="1" applyAlignment="1">
      <alignment horizontal="right" vertical="center" wrapText="1"/>
      <protection/>
    </xf>
    <xf numFmtId="193" fontId="36" fillId="24" borderId="10" xfId="54" applyNumberFormat="1" applyFont="1" applyFill="1" applyBorder="1" applyAlignment="1">
      <alignment horizontal="right" vertical="center"/>
      <protection/>
    </xf>
    <xf numFmtId="1" fontId="22" fillId="24" borderId="0" xfId="54" applyNumberFormat="1" applyFont="1" applyFill="1" applyAlignment="1" applyProtection="1">
      <alignment horizontal="justify" vertical="top" wrapText="1"/>
      <protection/>
    </xf>
    <xf numFmtId="1" fontId="23" fillId="24" borderId="0" xfId="54" applyNumberFormat="1" applyFont="1" applyFill="1" applyAlignment="1" applyProtection="1">
      <alignment vertical="center" wrapText="1"/>
      <protection/>
    </xf>
    <xf numFmtId="0" fontId="21" fillId="24" borderId="0" xfId="54" applyFont="1" applyFill="1" applyBorder="1">
      <alignment/>
      <protection/>
    </xf>
    <xf numFmtId="0" fontId="26" fillId="24" borderId="16" xfId="54" applyFont="1" applyFill="1" applyBorder="1">
      <alignment/>
      <protection/>
    </xf>
    <xf numFmtId="192" fontId="21" fillId="24" borderId="0" xfId="54" applyNumberFormat="1" applyFont="1" applyFill="1">
      <alignment/>
      <protection/>
    </xf>
    <xf numFmtId="192" fontId="26" fillId="24" borderId="13" xfId="54" applyNumberFormat="1" applyFont="1" applyFill="1" applyBorder="1">
      <alignment/>
      <protection/>
    </xf>
    <xf numFmtId="192" fontId="22" fillId="24" borderId="0" xfId="54" applyNumberFormat="1" applyFont="1" applyFill="1" applyAlignment="1" applyProtection="1">
      <alignment horizontal="justify" vertical="top" wrapText="1"/>
      <protection/>
    </xf>
    <xf numFmtId="192" fontId="23" fillId="24" borderId="0" xfId="54" applyNumberFormat="1" applyFont="1" applyFill="1" applyAlignment="1" applyProtection="1">
      <alignment vertical="center" wrapText="1"/>
      <protection/>
    </xf>
    <xf numFmtId="0" fontId="29" fillId="24" borderId="0" xfId="54" applyFont="1" applyFill="1" applyBorder="1">
      <alignment/>
      <protection/>
    </xf>
    <xf numFmtId="0" fontId="29" fillId="24" borderId="0" xfId="54" applyFont="1" applyFill="1">
      <alignment/>
      <protection/>
    </xf>
    <xf numFmtId="0" fontId="59" fillId="24" borderId="13" xfId="54" applyFont="1" applyFill="1" applyBorder="1">
      <alignment/>
      <protection/>
    </xf>
    <xf numFmtId="0" fontId="24" fillId="24" borderId="0" xfId="54" applyFont="1" applyFill="1" applyBorder="1" applyAlignment="1">
      <alignment horizontal="left" vertical="center" wrapText="1"/>
      <protection/>
    </xf>
    <xf numFmtId="0" fontId="24" fillId="24" borderId="0" xfId="54" applyFont="1" applyFill="1" applyBorder="1">
      <alignment/>
      <protection/>
    </xf>
    <xf numFmtId="0" fontId="24" fillId="24" borderId="0" xfId="54" applyFont="1" applyFill="1">
      <alignment/>
      <protection/>
    </xf>
    <xf numFmtId="0" fontId="60" fillId="24" borderId="13" xfId="54" applyFont="1" applyFill="1" applyBorder="1">
      <alignment/>
      <protection/>
    </xf>
    <xf numFmtId="1" fontId="31" fillId="24" borderId="10" xfId="54" applyNumberFormat="1" applyFont="1" applyFill="1" applyBorder="1" applyAlignment="1">
      <alignment horizontal="center" vertical="top" wrapText="1"/>
      <protection/>
    </xf>
    <xf numFmtId="1" fontId="31" fillId="24" borderId="10" xfId="54" applyNumberFormat="1" applyFont="1" applyFill="1" applyBorder="1" applyAlignment="1">
      <alignment horizontal="center" vertical="center" wrapText="1"/>
      <protection/>
    </xf>
    <xf numFmtId="0" fontId="55" fillId="24" borderId="10" xfId="54" applyFont="1" applyFill="1" applyBorder="1">
      <alignment/>
      <protection/>
    </xf>
    <xf numFmtId="2" fontId="55" fillId="24" borderId="10" xfId="54" applyNumberFormat="1" applyFont="1" applyFill="1" applyBorder="1">
      <alignment/>
      <protection/>
    </xf>
    <xf numFmtId="0" fontId="26" fillId="24" borderId="13" xfId="54" applyFont="1" applyFill="1" applyBorder="1">
      <alignment/>
      <protection/>
    </xf>
    <xf numFmtId="0" fontId="23" fillId="24" borderId="0" xfId="54" applyFont="1" applyFill="1">
      <alignment/>
      <protection/>
    </xf>
    <xf numFmtId="1" fontId="31" fillId="24" borderId="10" xfId="55" applyNumberFormat="1" applyFont="1" applyFill="1" applyBorder="1" applyAlignment="1" applyProtection="1">
      <alignment horizontal="justify" vertical="top" wrapText="1"/>
      <protection locked="0"/>
    </xf>
    <xf numFmtId="0" fontId="38" fillId="24" borderId="0" xfId="54" applyFont="1" applyFill="1" applyAlignment="1">
      <alignment wrapText="1"/>
      <protection/>
    </xf>
    <xf numFmtId="1" fontId="28" fillId="24" borderId="10" xfId="54" applyNumberFormat="1" applyFont="1" applyFill="1" applyBorder="1" applyAlignment="1" applyProtection="1">
      <alignment horizontal="justify" vertical="top" wrapText="1"/>
      <protection locked="0"/>
    </xf>
    <xf numFmtId="0" fontId="40" fillId="24" borderId="0" xfId="54" applyFont="1" applyFill="1" applyAlignment="1">
      <alignment wrapText="1"/>
      <protection/>
    </xf>
    <xf numFmtId="0" fontId="28" fillId="24" borderId="0" xfId="54" applyFont="1" applyFill="1" applyAlignment="1">
      <alignment wrapText="1"/>
      <protection/>
    </xf>
    <xf numFmtId="1" fontId="28" fillId="24" borderId="10" xfId="55" applyNumberFormat="1" applyFont="1" applyFill="1" applyBorder="1" applyAlignment="1" applyProtection="1">
      <alignment horizontal="justify" vertical="top" wrapText="1"/>
      <protection locked="0"/>
    </xf>
    <xf numFmtId="0" fontId="40" fillId="24" borderId="0" xfId="54" applyFont="1" applyFill="1" applyAlignment="1">
      <alignment wrapText="1"/>
      <protection/>
    </xf>
    <xf numFmtId="192" fontId="68" fillId="24" borderId="0" xfId="54" applyNumberFormat="1" applyFont="1" applyFill="1" applyBorder="1">
      <alignment/>
      <protection/>
    </xf>
    <xf numFmtId="0" fontId="29" fillId="24" borderId="0" xfId="54" applyFont="1" applyFill="1" applyAlignment="1">
      <alignment wrapText="1"/>
      <protection/>
    </xf>
    <xf numFmtId="1" fontId="28" fillId="24" borderId="10" xfId="54" applyNumberFormat="1" applyFont="1" applyFill="1" applyBorder="1" applyAlignment="1" applyProtection="1">
      <alignment horizontal="justify" vertical="top" wrapText="1"/>
      <protection/>
    </xf>
    <xf numFmtId="1" fontId="24" fillId="24" borderId="10" xfId="54" applyNumberFormat="1" applyFont="1" applyFill="1" applyBorder="1" applyAlignment="1" applyProtection="1">
      <alignment horizontal="justify" vertical="top" wrapText="1"/>
      <protection/>
    </xf>
    <xf numFmtId="0" fontId="38" fillId="24" borderId="0" xfId="54" applyFont="1" applyFill="1" applyAlignment="1">
      <alignment wrapText="1"/>
      <protection/>
    </xf>
    <xf numFmtId="0" fontId="24" fillId="24" borderId="10" xfId="54" applyNumberFormat="1" applyFont="1" applyFill="1" applyBorder="1" applyAlignment="1">
      <alignment horizontal="center" vertical="center" wrapText="1"/>
      <protection/>
    </xf>
    <xf numFmtId="191" fontId="31" fillId="24" borderId="10" xfId="54" applyNumberFormat="1" applyFont="1" applyFill="1" applyBorder="1" applyAlignment="1">
      <alignment horizontal="center" vertical="center" wrapText="1"/>
      <protection/>
    </xf>
    <xf numFmtId="0" fontId="31" fillId="24" borderId="0" xfId="54" applyFont="1" applyFill="1" applyAlignment="1">
      <alignment wrapText="1"/>
      <protection/>
    </xf>
    <xf numFmtId="0" fontId="47" fillId="24" borderId="0" xfId="54" applyFont="1" applyFill="1" applyAlignment="1">
      <alignment wrapText="1"/>
      <protection/>
    </xf>
    <xf numFmtId="0" fontId="41" fillId="24" borderId="0" xfId="54" applyFont="1" applyFill="1" applyAlignment="1">
      <alignment wrapText="1"/>
      <protection/>
    </xf>
    <xf numFmtId="0" fontId="24" fillId="24" borderId="0" xfId="54" applyFont="1" applyFill="1" applyAlignment="1">
      <alignment wrapText="1"/>
      <protection/>
    </xf>
    <xf numFmtId="1" fontId="24" fillId="24" borderId="10" xfId="54" applyNumberFormat="1" applyFont="1" applyFill="1" applyBorder="1" applyAlignment="1" applyProtection="1">
      <alignment horizontal="justify" vertical="top" wrapText="1"/>
      <protection locked="0"/>
    </xf>
    <xf numFmtId="0" fontId="24" fillId="24" borderId="0" xfId="54" applyFont="1" applyFill="1" applyBorder="1" applyAlignment="1">
      <alignment wrapText="1"/>
      <protection/>
    </xf>
    <xf numFmtId="0" fontId="29" fillId="24" borderId="0" xfId="54" applyFont="1" applyFill="1" applyBorder="1" applyAlignment="1">
      <alignment wrapText="1"/>
      <protection/>
    </xf>
    <xf numFmtId="0" fontId="40" fillId="24" borderId="0" xfId="54" applyFont="1" applyFill="1" applyBorder="1" applyAlignment="1">
      <alignment wrapText="1"/>
      <protection/>
    </xf>
    <xf numFmtId="49" fontId="42" fillId="24" borderId="10" xfId="0" applyNumberFormat="1" applyFont="1" applyFill="1" applyBorder="1" applyAlignment="1" applyProtection="1">
      <alignment horizontal="justify" vertical="top" wrapText="1"/>
      <protection hidden="1"/>
    </xf>
    <xf numFmtId="1" fontId="42" fillId="24" borderId="10" xfId="0" applyNumberFormat="1" applyFont="1" applyFill="1" applyBorder="1" applyAlignment="1" applyProtection="1">
      <alignment horizontal="center" vertical="center" wrapText="1"/>
      <protection hidden="1"/>
    </xf>
    <xf numFmtId="49" fontId="27" fillId="24" borderId="10" xfId="0" applyNumberFormat="1" applyFont="1" applyFill="1" applyBorder="1" applyAlignment="1" applyProtection="1">
      <alignment horizontal="justify" vertical="top" wrapText="1"/>
      <protection hidden="1"/>
    </xf>
    <xf numFmtId="49" fontId="43" fillId="24" borderId="10" xfId="0" applyNumberFormat="1" applyFont="1" applyFill="1" applyBorder="1" applyAlignment="1" applyProtection="1">
      <alignment horizontal="justify" vertical="top" wrapText="1"/>
      <protection hidden="1"/>
    </xf>
    <xf numFmtId="1" fontId="43" fillId="24" borderId="10" xfId="0" applyNumberFormat="1" applyFont="1" applyFill="1" applyBorder="1" applyAlignment="1" applyProtection="1">
      <alignment horizontal="center" vertical="center" wrapText="1"/>
      <protection hidden="1"/>
    </xf>
    <xf numFmtId="0" fontId="41" fillId="24" borderId="0" xfId="54" applyFont="1" applyFill="1" applyBorder="1" applyAlignment="1">
      <alignment wrapText="1"/>
      <protection/>
    </xf>
    <xf numFmtId="1" fontId="27" fillId="24" borderId="10" xfId="0" applyNumberFormat="1" applyFont="1" applyFill="1" applyBorder="1" applyAlignment="1" applyProtection="1">
      <alignment horizontal="center" vertical="center" wrapText="1"/>
      <protection hidden="1"/>
    </xf>
    <xf numFmtId="49" fontId="27" fillId="24" borderId="10" xfId="0" applyNumberFormat="1" applyFont="1" applyFill="1" applyBorder="1" applyAlignment="1">
      <alignment horizontal="justify" vertical="top" wrapText="1"/>
    </xf>
    <xf numFmtId="2" fontId="42" fillId="24" borderId="10" xfId="0" applyNumberFormat="1" applyFont="1" applyFill="1" applyBorder="1" applyAlignment="1">
      <alignment horizontal="justify" vertical="top" wrapText="1"/>
    </xf>
    <xf numFmtId="193" fontId="37" fillId="24" borderId="10" xfId="54" applyNumberFormat="1" applyFont="1" applyFill="1" applyBorder="1" applyAlignment="1">
      <alignment horizontal="right" vertical="center" wrapText="1"/>
      <protection/>
    </xf>
    <xf numFmtId="4" fontId="58" fillId="24" borderId="0" xfId="54" applyNumberFormat="1" applyFont="1" applyFill="1">
      <alignment/>
      <protection/>
    </xf>
    <xf numFmtId="0" fontId="27" fillId="24" borderId="10" xfId="0" applyNumberFormat="1" applyFont="1" applyFill="1" applyBorder="1" applyAlignment="1">
      <alignment horizontal="justify" vertical="top" wrapText="1"/>
    </xf>
    <xf numFmtId="193" fontId="38" fillId="24" borderId="0" xfId="54" applyNumberFormat="1" applyFont="1" applyFill="1" applyBorder="1" applyAlignment="1">
      <alignment wrapText="1"/>
      <protection/>
    </xf>
    <xf numFmtId="1" fontId="28" fillId="24" borderId="0" xfId="55" applyNumberFormat="1" applyFont="1" applyFill="1" applyBorder="1" applyAlignment="1" applyProtection="1">
      <alignment horizontal="justify" vertical="top" wrapText="1"/>
      <protection locked="0"/>
    </xf>
    <xf numFmtId="1" fontId="28" fillId="24" borderId="0" xfId="55" applyNumberFormat="1" applyFont="1" applyFill="1" applyBorder="1" applyAlignment="1" applyProtection="1">
      <alignment horizontal="center" vertical="center" wrapText="1"/>
      <protection locked="0"/>
    </xf>
    <xf numFmtId="1" fontId="50" fillId="24" borderId="0" xfId="55" applyNumberFormat="1" applyFont="1" applyFill="1" applyBorder="1" applyAlignment="1" applyProtection="1">
      <alignment horizontal="justify" vertical="top" wrapText="1"/>
      <protection locked="0"/>
    </xf>
    <xf numFmtId="0" fontId="62" fillId="24" borderId="13" xfId="54" applyFont="1" applyFill="1" applyBorder="1" applyAlignment="1">
      <alignment wrapText="1"/>
      <protection/>
    </xf>
    <xf numFmtId="1" fontId="45" fillId="24" borderId="0" xfId="54" applyNumberFormat="1" applyFont="1" applyFill="1" applyAlignment="1" applyProtection="1">
      <alignment horizontal="left" vertical="center"/>
      <protection/>
    </xf>
    <xf numFmtId="1" fontId="45" fillId="24" borderId="0" xfId="54" applyNumberFormat="1" applyFont="1" applyFill="1" applyBorder="1" applyAlignment="1" applyProtection="1">
      <alignment horizontal="left" vertical="center"/>
      <protection/>
    </xf>
    <xf numFmtId="0" fontId="59" fillId="24" borderId="13" xfId="54" applyFont="1" applyFill="1" applyBorder="1" applyAlignment="1">
      <alignment wrapText="1"/>
      <protection/>
    </xf>
    <xf numFmtId="1" fontId="45" fillId="24" borderId="0" xfId="54" applyNumberFormat="1" applyFont="1" applyFill="1" applyAlignment="1" applyProtection="1">
      <alignment horizontal="justify" vertical="top"/>
      <protection/>
    </xf>
    <xf numFmtId="0" fontId="63" fillId="24" borderId="13" xfId="54" applyFont="1" applyFill="1" applyBorder="1" applyAlignment="1">
      <alignment wrapText="1"/>
      <protection/>
    </xf>
    <xf numFmtId="2" fontId="45" fillId="24" borderId="0" xfId="54" applyNumberFormat="1" applyFont="1" applyFill="1" applyAlignment="1" applyProtection="1">
      <alignment horizontal="left" vertical="center"/>
      <protection/>
    </xf>
    <xf numFmtId="193" fontId="29" fillId="24" borderId="0" xfId="54" applyNumberFormat="1" applyFont="1" applyFill="1" applyAlignment="1">
      <alignment wrapText="1"/>
      <protection/>
    </xf>
    <xf numFmtId="192" fontId="45" fillId="24" borderId="0" xfId="54" applyNumberFormat="1" applyFont="1" applyFill="1" applyBorder="1" applyAlignment="1" applyProtection="1">
      <alignment horizontal="left" vertical="center"/>
      <protection/>
    </xf>
    <xf numFmtId="1" fontId="23" fillId="24" borderId="0" xfId="54" applyNumberFormat="1" applyFont="1" applyFill="1" applyBorder="1" applyAlignment="1" applyProtection="1">
      <alignment vertical="center" wrapText="1"/>
      <protection/>
    </xf>
    <xf numFmtId="193" fontId="21" fillId="24" borderId="0" xfId="54" applyNumberFormat="1" applyFont="1" applyFill="1" applyBorder="1">
      <alignment/>
      <protection/>
    </xf>
    <xf numFmtId="193" fontId="47" fillId="24" borderId="0" xfId="54" applyNumberFormat="1" applyFont="1" applyFill="1" applyBorder="1">
      <alignment/>
      <protection/>
    </xf>
    <xf numFmtId="192" fontId="47" fillId="24" borderId="0" xfId="60" applyNumberFormat="1" applyFont="1" applyFill="1" applyAlignment="1">
      <alignment/>
    </xf>
    <xf numFmtId="194" fontId="48" fillId="24" borderId="0" xfId="65" applyNumberFormat="1" applyFont="1" applyFill="1" applyAlignment="1" applyProtection="1">
      <alignment horizontal="justify" vertical="top" wrapText="1"/>
      <protection/>
    </xf>
    <xf numFmtId="194" fontId="49" fillId="24" borderId="0" xfId="65" applyNumberFormat="1" applyFont="1" applyFill="1" applyBorder="1" applyAlignment="1" applyProtection="1">
      <alignment vertical="center" wrapText="1"/>
      <protection/>
    </xf>
    <xf numFmtId="194" fontId="30" fillId="24" borderId="0" xfId="65" applyNumberFormat="1" applyFont="1" applyFill="1" applyAlignment="1">
      <alignment/>
    </xf>
    <xf numFmtId="194" fontId="64" fillId="24" borderId="13" xfId="65" applyNumberFormat="1" applyFont="1" applyFill="1" applyBorder="1" applyAlignment="1">
      <alignment/>
    </xf>
    <xf numFmtId="194" fontId="56" fillId="24" borderId="0" xfId="65" applyNumberFormat="1" applyFont="1" applyFill="1" applyAlignment="1" applyProtection="1">
      <alignment horizontal="center"/>
      <protection/>
    </xf>
    <xf numFmtId="4" fontId="24" fillId="24" borderId="0" xfId="54" applyNumberFormat="1" applyFont="1" applyFill="1" applyAlignment="1" applyProtection="1">
      <alignment horizontal="center"/>
      <protection/>
    </xf>
    <xf numFmtId="0" fontId="65" fillId="24" borderId="14" xfId="0" applyFont="1" applyFill="1" applyBorder="1" applyAlignment="1">
      <alignment/>
    </xf>
    <xf numFmtId="0" fontId="21" fillId="24" borderId="13" xfId="54" applyFont="1" applyFill="1" applyBorder="1">
      <alignment/>
      <protection/>
    </xf>
    <xf numFmtId="193" fontId="22" fillId="25" borderId="10" xfId="54" applyNumberFormat="1" applyFont="1" applyFill="1" applyBorder="1" applyAlignment="1">
      <alignment horizontal="right" vertical="center"/>
      <protection/>
    </xf>
    <xf numFmtId="191" fontId="28" fillId="25" borderId="10" xfId="54" applyNumberFormat="1" applyFont="1" applyFill="1" applyBorder="1" applyAlignment="1">
      <alignment horizontal="center" vertical="center" wrapText="1"/>
      <protection/>
    </xf>
    <xf numFmtId="193" fontId="22" fillId="25" borderId="10" xfId="54" applyNumberFormat="1" applyFont="1" applyFill="1" applyBorder="1" applyAlignment="1">
      <alignment horizontal="right" vertical="center" wrapText="1"/>
      <protection/>
    </xf>
    <xf numFmtId="1" fontId="28" fillId="25" borderId="10" xfId="55" applyNumberFormat="1" applyFont="1" applyFill="1" applyBorder="1" applyAlignment="1" applyProtection="1">
      <alignment horizontal="justify" vertical="top" wrapText="1"/>
      <protection locked="0"/>
    </xf>
    <xf numFmtId="1" fontId="28" fillId="25" borderId="10" xfId="55" applyNumberFormat="1" applyFont="1" applyFill="1" applyBorder="1" applyAlignment="1" applyProtection="1">
      <alignment horizontal="justify" vertical="top" wrapText="1"/>
      <protection locked="0"/>
    </xf>
    <xf numFmtId="1" fontId="28" fillId="25" borderId="10" xfId="54" applyNumberFormat="1" applyFont="1" applyFill="1" applyBorder="1" applyAlignment="1" applyProtection="1">
      <alignment horizontal="justify" vertical="top" wrapText="1"/>
      <protection/>
    </xf>
    <xf numFmtId="193" fontId="22" fillId="25" borderId="10" xfId="54" applyNumberFormat="1" applyFont="1" applyFill="1" applyBorder="1" applyAlignment="1">
      <alignment vertical="center" wrapText="1"/>
      <protection/>
    </xf>
    <xf numFmtId="193" fontId="22" fillId="25" borderId="10" xfId="54" applyNumberFormat="1" applyFont="1" applyFill="1" applyBorder="1" applyAlignment="1">
      <alignment vertical="center"/>
      <protection/>
    </xf>
    <xf numFmtId="1" fontId="28" fillId="25" borderId="10" xfId="55" applyNumberFormat="1" applyFont="1" applyFill="1" applyBorder="1" applyAlignment="1" applyProtection="1">
      <alignment horizontal="center" vertical="center" wrapText="1"/>
      <protection locked="0"/>
    </xf>
    <xf numFmtId="1" fontId="28" fillId="25" borderId="10" xfId="55" applyNumberFormat="1" applyFont="1" applyFill="1" applyBorder="1" applyAlignment="1" applyProtection="1">
      <alignment horizontal="left" vertical="top" wrapText="1"/>
      <protection locked="0"/>
    </xf>
    <xf numFmtId="191" fontId="28" fillId="25" borderId="10" xfId="54" applyNumberFormat="1" applyFont="1" applyFill="1" applyBorder="1" applyAlignment="1">
      <alignment horizontal="left" vertical="center" wrapText="1"/>
      <protection/>
    </xf>
    <xf numFmtId="1" fontId="28" fillId="25" borderId="10" xfId="55" applyNumberFormat="1" applyFont="1" applyFill="1" applyBorder="1" applyAlignment="1" applyProtection="1">
      <alignment horizontal="left" vertical="top" wrapText="1"/>
      <protection locked="0"/>
    </xf>
    <xf numFmtId="1" fontId="31" fillId="25" borderId="11" xfId="54" applyNumberFormat="1" applyFont="1" applyFill="1" applyBorder="1" applyAlignment="1">
      <alignment horizontal="center" vertical="center" wrapText="1"/>
      <protection/>
    </xf>
    <xf numFmtId="193" fontId="33" fillId="25" borderId="10" xfId="54" applyNumberFormat="1" applyFont="1" applyFill="1" applyBorder="1" applyAlignment="1">
      <alignment horizontal="right" vertical="center" wrapText="1"/>
      <protection/>
    </xf>
    <xf numFmtId="193" fontId="34" fillId="25" borderId="10" xfId="54" applyNumberFormat="1" applyFont="1" applyFill="1" applyBorder="1" applyAlignment="1">
      <alignment horizontal="right" vertical="center" wrapText="1"/>
      <protection/>
    </xf>
    <xf numFmtId="193" fontId="22" fillId="25" borderId="10" xfId="54" applyNumberFormat="1" applyFont="1" applyFill="1" applyBorder="1" applyAlignment="1">
      <alignment horizontal="center" vertical="center" wrapText="1"/>
      <protection/>
    </xf>
    <xf numFmtId="193" fontId="33" fillId="25" borderId="10" xfId="54" applyNumberFormat="1" applyFont="1" applyFill="1" applyBorder="1" applyAlignment="1">
      <alignment vertical="center" wrapText="1"/>
      <protection/>
    </xf>
    <xf numFmtId="193" fontId="34" fillId="25" borderId="10" xfId="54" applyNumberFormat="1" applyFont="1" applyFill="1" applyBorder="1" applyAlignment="1">
      <alignment vertical="center" wrapText="1"/>
      <protection/>
    </xf>
    <xf numFmtId="193" fontId="22" fillId="25" borderId="0" xfId="54" applyNumberFormat="1" applyFont="1" applyFill="1" applyBorder="1" applyAlignment="1">
      <alignment vertical="center" wrapText="1"/>
      <protection/>
    </xf>
    <xf numFmtId="0" fontId="46" fillId="25" borderId="0" xfId="54" applyFont="1" applyFill="1" applyAlignment="1">
      <alignment wrapText="1"/>
      <protection/>
    </xf>
    <xf numFmtId="193" fontId="47" fillId="25" borderId="0" xfId="54" applyNumberFormat="1" applyFont="1" applyFill="1">
      <alignment/>
      <protection/>
    </xf>
    <xf numFmtId="0" fontId="40" fillId="25" borderId="0" xfId="54" applyFont="1" applyFill="1" applyAlignment="1">
      <alignment wrapText="1"/>
      <protection/>
    </xf>
    <xf numFmtId="0" fontId="40" fillId="25" borderId="0" xfId="54" applyFont="1" applyFill="1" applyAlignment="1">
      <alignment wrapText="1"/>
      <protection/>
    </xf>
    <xf numFmtId="193" fontId="36" fillId="24" borderId="10" xfId="54" applyNumberFormat="1" applyFont="1" applyFill="1" applyBorder="1" applyAlignment="1">
      <alignment vertical="center"/>
      <protection/>
    </xf>
    <xf numFmtId="193" fontId="36" fillId="24" borderId="10" xfId="54" applyNumberFormat="1" applyFont="1" applyFill="1" applyBorder="1" applyAlignment="1">
      <alignment vertical="center" wrapText="1"/>
      <protection/>
    </xf>
    <xf numFmtId="193" fontId="37" fillId="24" borderId="10" xfId="54" applyNumberFormat="1" applyFont="1" applyFill="1" applyBorder="1" applyAlignment="1">
      <alignment horizontal="right" vertical="center"/>
      <protection/>
    </xf>
    <xf numFmtId="0" fontId="53" fillId="25" borderId="0" xfId="54" applyFont="1" applyFill="1" applyAlignment="1">
      <alignment vertical="center"/>
      <protection/>
    </xf>
    <xf numFmtId="192" fontId="54" fillId="25" borderId="0" xfId="54" applyNumberFormat="1" applyFont="1" applyFill="1" applyAlignment="1">
      <alignment vertical="center"/>
      <protection/>
    </xf>
    <xf numFmtId="192" fontId="22" fillId="25" borderId="0" xfId="54" applyNumberFormat="1" applyFont="1" applyFill="1" applyBorder="1" applyAlignment="1">
      <alignment vertical="center" wrapText="1"/>
      <protection/>
    </xf>
    <xf numFmtId="0" fontId="53" fillId="25" borderId="0" xfId="54" applyFont="1" applyFill="1" applyAlignment="1">
      <alignment horizontal="left" vertical="center"/>
      <protection/>
    </xf>
    <xf numFmtId="193" fontId="53" fillId="25" borderId="0" xfId="54" applyNumberFormat="1" applyFont="1" applyFill="1" applyAlignment="1">
      <alignment vertical="center"/>
      <protection/>
    </xf>
    <xf numFmtId="1" fontId="24" fillId="25" borderId="0" xfId="54" applyNumberFormat="1" applyFont="1" applyFill="1" applyAlignment="1" applyProtection="1">
      <alignment horizontal="center"/>
      <protection/>
    </xf>
    <xf numFmtId="194" fontId="30" fillId="25" borderId="0" xfId="65" applyNumberFormat="1" applyFont="1" applyFill="1" applyAlignment="1" applyProtection="1">
      <alignment horizontal="center"/>
      <protection/>
    </xf>
    <xf numFmtId="0" fontId="0" fillId="25" borderId="0" xfId="0" applyFill="1" applyAlignment="1">
      <alignment/>
    </xf>
    <xf numFmtId="192" fontId="53" fillId="25" borderId="0" xfId="54" applyNumberFormat="1" applyFont="1" applyFill="1" applyAlignment="1">
      <alignment vertical="center"/>
      <protection/>
    </xf>
    <xf numFmtId="0" fontId="31" fillId="25" borderId="11" xfId="54" applyFont="1" applyFill="1" applyBorder="1" applyAlignment="1">
      <alignment horizontal="center" vertical="center" wrapText="1"/>
      <protection/>
    </xf>
    <xf numFmtId="0" fontId="29" fillId="25" borderId="0" xfId="54" applyFont="1" applyFill="1" applyAlignment="1">
      <alignment wrapText="1"/>
      <protection/>
    </xf>
    <xf numFmtId="4" fontId="23" fillId="24" borderId="0" xfId="54" applyNumberFormat="1" applyFont="1" applyFill="1">
      <alignment/>
      <protection/>
    </xf>
    <xf numFmtId="193" fontId="35" fillId="24" borderId="10" xfId="54" applyNumberFormat="1" applyFont="1" applyFill="1" applyBorder="1" applyAlignment="1">
      <alignment horizontal="right" vertical="center"/>
      <protection/>
    </xf>
    <xf numFmtId="193" fontId="33" fillId="3" borderId="10" xfId="54" applyNumberFormat="1" applyFont="1" applyFill="1" applyBorder="1" applyAlignment="1">
      <alignment horizontal="right" vertical="center" wrapText="1"/>
      <protection/>
    </xf>
    <xf numFmtId="193" fontId="33" fillId="22" borderId="10" xfId="54" applyNumberFormat="1" applyFont="1" applyFill="1" applyBorder="1" applyAlignment="1">
      <alignment horizontal="right" vertical="center" wrapText="1"/>
      <protection/>
    </xf>
    <xf numFmtId="1" fontId="22" fillId="24" borderId="0" xfId="54" applyNumberFormat="1" applyFont="1" applyFill="1" applyBorder="1" applyAlignment="1" applyProtection="1">
      <alignment horizontal="justify" vertical="top" wrapText="1"/>
      <protection/>
    </xf>
    <xf numFmtId="1" fontId="24" fillId="24" borderId="0" xfId="54" applyNumberFormat="1" applyFont="1" applyFill="1" applyBorder="1" applyAlignment="1" applyProtection="1">
      <alignment horizontal="center"/>
      <protection/>
    </xf>
    <xf numFmtId="193" fontId="36" fillId="24" borderId="10" xfId="54" applyNumberFormat="1" applyFont="1" applyFill="1" applyBorder="1" applyAlignment="1">
      <alignment horizontal="right" vertical="center"/>
      <protection/>
    </xf>
    <xf numFmtId="193" fontId="36" fillId="24" borderId="10" xfId="54" applyNumberFormat="1" applyFont="1" applyFill="1" applyBorder="1" applyAlignment="1">
      <alignment horizontal="right" vertical="center"/>
      <protection/>
    </xf>
    <xf numFmtId="193" fontId="61" fillId="24" borderId="13" xfId="54" applyNumberFormat="1" applyFont="1" applyFill="1" applyBorder="1">
      <alignment/>
      <protection/>
    </xf>
    <xf numFmtId="1" fontId="28" fillId="25" borderId="10" xfId="54" applyNumberFormat="1" applyFont="1" applyFill="1" applyBorder="1" applyAlignment="1">
      <alignment horizontal="left" vertical="top" wrapText="1"/>
      <protection/>
    </xf>
    <xf numFmtId="193" fontId="22" fillId="25" borderId="10" xfId="54" applyNumberFormat="1" applyFont="1" applyFill="1" applyBorder="1" applyAlignment="1">
      <alignment horizontal="center" vertical="center"/>
      <protection/>
    </xf>
    <xf numFmtId="193" fontId="61" fillId="25" borderId="13" xfId="54" applyNumberFormat="1" applyFont="1" applyFill="1" applyBorder="1">
      <alignment/>
      <protection/>
    </xf>
    <xf numFmtId="193" fontId="36" fillId="24" borderId="10" xfId="54" applyNumberFormat="1" applyFont="1" applyFill="1" applyBorder="1" applyAlignment="1">
      <alignment horizontal="right" vertical="center" wrapText="1"/>
      <protection/>
    </xf>
    <xf numFmtId="0" fontId="21" fillId="24" borderId="16" xfId="54" applyFont="1" applyFill="1" applyBorder="1">
      <alignment/>
      <protection/>
    </xf>
    <xf numFmtId="192" fontId="21" fillId="24" borderId="13" xfId="54" applyNumberFormat="1" applyFont="1" applyFill="1" applyBorder="1">
      <alignment/>
      <protection/>
    </xf>
    <xf numFmtId="193" fontId="36" fillId="24" borderId="10" xfId="54" applyNumberFormat="1" applyFont="1" applyFill="1" applyBorder="1" applyAlignment="1">
      <alignment horizontal="right" vertical="center" wrapText="1"/>
      <protection/>
    </xf>
    <xf numFmtId="193" fontId="36" fillId="24" borderId="10" xfId="54" applyNumberFormat="1" applyFont="1" applyFill="1" applyBorder="1" applyAlignment="1">
      <alignment horizontal="right" vertical="center"/>
      <protection/>
    </xf>
    <xf numFmtId="0" fontId="21" fillId="25" borderId="0" xfId="54" applyFont="1" applyFill="1">
      <alignment/>
      <protection/>
    </xf>
    <xf numFmtId="0" fontId="21" fillId="25" borderId="0" xfId="54" applyFont="1" applyFill="1" applyBorder="1">
      <alignment/>
      <protection/>
    </xf>
    <xf numFmtId="1" fontId="28" fillId="25" borderId="15" xfId="54" applyNumberFormat="1" applyFont="1" applyFill="1" applyBorder="1" applyAlignment="1">
      <alignment vertical="center" wrapText="1"/>
      <protection/>
    </xf>
    <xf numFmtId="1" fontId="28" fillId="25" borderId="12" xfId="54" applyNumberFormat="1" applyFont="1" applyFill="1" applyBorder="1" applyAlignment="1">
      <alignment vertical="center" wrapText="1"/>
      <protection/>
    </xf>
    <xf numFmtId="0" fontId="24" fillId="25" borderId="10" xfId="54" applyFont="1" applyFill="1" applyBorder="1" applyAlignment="1">
      <alignment horizontal="center" vertical="center" wrapText="1"/>
      <protection/>
    </xf>
    <xf numFmtId="1" fontId="31" fillId="25" borderId="10" xfId="54" applyNumberFormat="1" applyFont="1" applyFill="1" applyBorder="1" applyAlignment="1">
      <alignment horizontal="center" vertical="center" wrapText="1"/>
      <protection/>
    </xf>
    <xf numFmtId="193" fontId="33" fillId="25" borderId="10" xfId="54" applyNumberFormat="1" applyFont="1" applyFill="1" applyBorder="1" applyAlignment="1">
      <alignment horizontal="right" vertical="center"/>
      <protection/>
    </xf>
    <xf numFmtId="193" fontId="36" fillId="25" borderId="10" xfId="54" applyNumberFormat="1" applyFont="1" applyFill="1" applyBorder="1" applyAlignment="1">
      <alignment horizontal="right" vertical="center"/>
      <protection/>
    </xf>
    <xf numFmtId="193" fontId="35" fillId="25" borderId="10" xfId="54" applyNumberFormat="1" applyFont="1" applyFill="1" applyBorder="1" applyAlignment="1">
      <alignment horizontal="right" vertical="center"/>
      <protection/>
    </xf>
    <xf numFmtId="193" fontId="34" fillId="25" borderId="10" xfId="54" applyNumberFormat="1" applyFont="1" applyFill="1" applyBorder="1" applyAlignment="1">
      <alignment horizontal="right" vertical="center"/>
      <protection/>
    </xf>
    <xf numFmtId="193" fontId="37" fillId="25" borderId="10" xfId="54" applyNumberFormat="1" applyFont="1" applyFill="1" applyBorder="1" applyAlignment="1">
      <alignment horizontal="right" vertical="center"/>
      <protection/>
    </xf>
    <xf numFmtId="193" fontId="36" fillId="25" borderId="10" xfId="54" applyNumberFormat="1" applyFont="1" applyFill="1" applyBorder="1" applyAlignment="1">
      <alignment horizontal="right" vertical="center"/>
      <protection/>
    </xf>
    <xf numFmtId="193" fontId="37" fillId="25" borderId="10" xfId="54" applyNumberFormat="1" applyFont="1" applyFill="1" applyBorder="1" applyAlignment="1">
      <alignment horizontal="right" vertical="center"/>
      <protection/>
    </xf>
    <xf numFmtId="193" fontId="37" fillId="25" borderId="10" xfId="54" applyNumberFormat="1" applyFont="1" applyFill="1" applyBorder="1" applyAlignment="1">
      <alignment horizontal="right" vertical="center" wrapText="1"/>
      <protection/>
    </xf>
    <xf numFmtId="193" fontId="35" fillId="25" borderId="10" xfId="54" applyNumberFormat="1" applyFont="1" applyFill="1" applyBorder="1" applyAlignment="1">
      <alignment horizontal="right" vertical="center"/>
      <protection/>
    </xf>
    <xf numFmtId="193" fontId="37" fillId="25" borderId="10" xfId="54" applyNumberFormat="1" applyFont="1" applyFill="1" applyBorder="1" applyAlignment="1">
      <alignment vertical="center" wrapText="1"/>
      <protection/>
    </xf>
    <xf numFmtId="193" fontId="36" fillId="25" borderId="10" xfId="54" applyNumberFormat="1" applyFont="1" applyFill="1" applyBorder="1" applyAlignment="1">
      <alignment vertical="center"/>
      <protection/>
    </xf>
    <xf numFmtId="193" fontId="37" fillId="25" borderId="10" xfId="54" applyNumberFormat="1" applyFont="1" applyFill="1" applyBorder="1" applyAlignment="1">
      <alignment vertical="center"/>
      <protection/>
    </xf>
    <xf numFmtId="193" fontId="36" fillId="25" borderId="10" xfId="54" applyNumberFormat="1" applyFont="1" applyFill="1" applyBorder="1" applyAlignment="1">
      <alignment vertical="center" wrapText="1"/>
      <protection/>
    </xf>
    <xf numFmtId="193" fontId="35" fillId="25" borderId="10" xfId="54" applyNumberFormat="1" applyFont="1" applyFill="1" applyBorder="1" applyAlignment="1">
      <alignment vertical="center"/>
      <protection/>
    </xf>
    <xf numFmtId="193" fontId="33" fillId="25" borderId="10" xfId="54" applyNumberFormat="1" applyFont="1" applyFill="1" applyBorder="1" applyAlignment="1">
      <alignment vertical="center"/>
      <protection/>
    </xf>
    <xf numFmtId="193" fontId="34" fillId="25" borderId="10" xfId="54" applyNumberFormat="1" applyFont="1" applyFill="1" applyBorder="1" applyAlignment="1">
      <alignment vertical="center"/>
      <protection/>
    </xf>
    <xf numFmtId="193" fontId="36" fillId="25" borderId="10" xfId="54" applyNumberFormat="1" applyFont="1" applyFill="1" applyBorder="1" applyAlignment="1">
      <alignment horizontal="right" vertical="center"/>
      <protection/>
    </xf>
    <xf numFmtId="193" fontId="36" fillId="25" borderId="10" xfId="54" applyNumberFormat="1" applyFont="1" applyFill="1" applyBorder="1" applyAlignment="1">
      <alignment vertical="center"/>
      <protection/>
    </xf>
    <xf numFmtId="193" fontId="36" fillId="25" borderId="10" xfId="54" applyNumberFormat="1" applyFont="1" applyFill="1" applyBorder="1" applyAlignment="1">
      <alignment vertical="center" wrapText="1"/>
      <protection/>
    </xf>
    <xf numFmtId="0" fontId="21" fillId="25" borderId="13" xfId="54" applyFont="1" applyFill="1" applyBorder="1">
      <alignment/>
      <protection/>
    </xf>
    <xf numFmtId="193" fontId="24" fillId="24" borderId="10" xfId="0" applyNumberFormat="1" applyFont="1" applyFill="1" applyBorder="1" applyAlignment="1">
      <alignment horizontal="center" vertical="center" wrapText="1"/>
    </xf>
    <xf numFmtId="3" fontId="31" fillId="24" borderId="11" xfId="54" applyNumberFormat="1" applyFont="1" applyFill="1" applyBorder="1" applyAlignment="1">
      <alignment horizontal="center" vertical="center" wrapText="1"/>
      <protection/>
    </xf>
    <xf numFmtId="0" fontId="55" fillId="24" borderId="12" xfId="54" applyFont="1" applyFill="1" applyBorder="1">
      <alignment/>
      <protection/>
    </xf>
    <xf numFmtId="192" fontId="36" fillId="24" borderId="10" xfId="54" applyNumberFormat="1" applyFont="1" applyFill="1" applyBorder="1" applyAlignment="1">
      <alignment horizontal="right" vertical="center"/>
      <protection/>
    </xf>
    <xf numFmtId="193" fontId="24" fillId="24" borderId="0" xfId="54" applyNumberFormat="1" applyFont="1" applyFill="1" applyBorder="1" applyAlignment="1" applyProtection="1">
      <alignment horizontal="center"/>
      <protection/>
    </xf>
    <xf numFmtId="1" fontId="24" fillId="25" borderId="0" xfId="54" applyNumberFormat="1" applyFont="1" applyFill="1" applyBorder="1" applyAlignment="1" applyProtection="1">
      <alignment horizontal="center"/>
      <protection/>
    </xf>
    <xf numFmtId="0" fontId="53" fillId="25" borderId="0" xfId="54" applyFont="1" applyFill="1" applyBorder="1" applyAlignment="1">
      <alignment vertical="center"/>
      <protection/>
    </xf>
    <xf numFmtId="192" fontId="53" fillId="25" borderId="0" xfId="54" applyNumberFormat="1" applyFont="1" applyFill="1" applyBorder="1" applyAlignment="1">
      <alignment vertical="center"/>
      <protection/>
    </xf>
    <xf numFmtId="0" fontId="21" fillId="25" borderId="17" xfId="54" applyFont="1" applyFill="1" applyBorder="1">
      <alignment/>
      <protection/>
    </xf>
    <xf numFmtId="192" fontId="22" fillId="24" borderId="0" xfId="54" applyNumberFormat="1" applyFont="1" applyFill="1" applyBorder="1" applyAlignment="1" applyProtection="1">
      <alignment horizontal="justify" vertical="top" wrapText="1"/>
      <protection/>
    </xf>
    <xf numFmtId="192" fontId="23" fillId="24" borderId="0" xfId="54" applyNumberFormat="1" applyFont="1" applyFill="1" applyBorder="1" applyAlignment="1" applyProtection="1">
      <alignment vertical="center" wrapText="1"/>
      <protection/>
    </xf>
    <xf numFmtId="192" fontId="54" fillId="24" borderId="0" xfId="54" applyNumberFormat="1" applyFont="1" applyFill="1" applyBorder="1" applyAlignment="1">
      <alignment vertical="center"/>
      <protection/>
    </xf>
    <xf numFmtId="192" fontId="25" fillId="24" borderId="0" xfId="54" applyNumberFormat="1" applyFont="1" applyFill="1" applyBorder="1" applyAlignment="1">
      <alignment vertical="center"/>
      <protection/>
    </xf>
    <xf numFmtId="193" fontId="54" fillId="24" borderId="0" xfId="54" applyNumberFormat="1" applyFont="1" applyFill="1" applyBorder="1" applyAlignment="1">
      <alignment vertical="center"/>
      <protection/>
    </xf>
    <xf numFmtId="192" fontId="54" fillId="25" borderId="0" xfId="54" applyNumberFormat="1" applyFont="1" applyFill="1" applyBorder="1" applyAlignment="1">
      <alignment vertical="center"/>
      <protection/>
    </xf>
    <xf numFmtId="192" fontId="21" fillId="24" borderId="0" xfId="54" applyNumberFormat="1" applyFont="1" applyFill="1" applyBorder="1" applyAlignment="1">
      <alignment horizontal="center" vertical="center"/>
      <protection/>
    </xf>
    <xf numFmtId="0" fontId="32" fillId="24" borderId="15" xfId="54" applyFont="1" applyFill="1" applyBorder="1" applyAlignment="1" applyProtection="1">
      <alignment vertical="center" wrapText="1"/>
      <protection/>
    </xf>
    <xf numFmtId="0" fontId="32" fillId="24" borderId="12" xfId="54" applyFont="1" applyFill="1" applyBorder="1" applyAlignment="1" applyProtection="1">
      <alignment vertical="center" wrapText="1"/>
      <protection/>
    </xf>
    <xf numFmtId="1" fontId="32" fillId="24" borderId="15" xfId="54" applyNumberFormat="1" applyFont="1" applyFill="1" applyBorder="1" applyAlignment="1">
      <alignment vertical="center" wrapText="1"/>
      <protection/>
    </xf>
    <xf numFmtId="1" fontId="32" fillId="24" borderId="12" xfId="54" applyNumberFormat="1" applyFont="1" applyFill="1" applyBorder="1" applyAlignment="1">
      <alignment vertical="center" wrapText="1"/>
      <protection/>
    </xf>
    <xf numFmtId="1" fontId="28" fillId="24" borderId="10" xfId="54" applyNumberFormat="1" applyFont="1" applyFill="1" applyBorder="1" applyAlignment="1" applyProtection="1">
      <alignment vertical="center" wrapText="1"/>
      <protection locked="0"/>
    </xf>
    <xf numFmtId="192" fontId="58" fillId="24" borderId="0" xfId="54" applyNumberFormat="1" applyFont="1" applyFill="1" applyBorder="1" applyAlignment="1">
      <alignment vertical="center"/>
      <protection/>
    </xf>
    <xf numFmtId="193" fontId="23" fillId="24" borderId="0" xfId="54" applyNumberFormat="1" applyFont="1" applyFill="1" applyAlignment="1">
      <alignment vertical="center"/>
      <protection/>
    </xf>
    <xf numFmtId="193" fontId="61" fillId="24" borderId="13" xfId="54" applyNumberFormat="1" applyFont="1" applyFill="1" applyBorder="1" applyAlignment="1">
      <alignment vertical="center"/>
      <protection/>
    </xf>
    <xf numFmtId="0" fontId="40" fillId="24" borderId="0" xfId="54" applyFont="1" applyFill="1" applyAlignment="1">
      <alignment vertical="center" wrapText="1"/>
      <protection/>
    </xf>
    <xf numFmtId="1" fontId="28" fillId="24" borderId="10" xfId="55" applyNumberFormat="1" applyFont="1" applyFill="1" applyBorder="1" applyAlignment="1" applyProtection="1">
      <alignment horizontal="justify" vertical="center" wrapText="1"/>
      <protection locked="0"/>
    </xf>
    <xf numFmtId="1" fontId="31" fillId="24" borderId="10" xfId="55" applyNumberFormat="1" applyFont="1" applyFill="1" applyBorder="1" applyAlignment="1" applyProtection="1">
      <alignment horizontal="justify" vertical="center" wrapText="1"/>
      <protection locked="0"/>
    </xf>
    <xf numFmtId="0" fontId="24" fillId="24" borderId="10" xfId="0" applyFont="1" applyFill="1" applyBorder="1" applyAlignment="1">
      <alignment horizontal="justify" vertical="center" wrapText="1"/>
    </xf>
    <xf numFmtId="0" fontId="27" fillId="24" borderId="10" xfId="0" applyNumberFormat="1" applyFont="1" applyFill="1" applyBorder="1" applyAlignment="1" applyProtection="1">
      <alignment vertical="center" wrapText="1"/>
      <protection/>
    </xf>
    <xf numFmtId="1" fontId="70" fillId="24" borderId="15" xfId="54" applyNumberFormat="1" applyFont="1" applyFill="1" applyBorder="1" applyAlignment="1">
      <alignment vertical="center" wrapText="1"/>
      <protection/>
    </xf>
    <xf numFmtId="1" fontId="70" fillId="24" borderId="12" xfId="54" applyNumberFormat="1" applyFont="1" applyFill="1" applyBorder="1" applyAlignment="1">
      <alignment vertical="center" wrapText="1"/>
      <protection/>
    </xf>
    <xf numFmtId="1" fontId="55" fillId="24" borderId="10" xfId="0" applyNumberFormat="1" applyFont="1" applyFill="1" applyBorder="1" applyAlignment="1">
      <alignment horizontal="center" vertical="center" wrapText="1"/>
    </xf>
    <xf numFmtId="0" fontId="55" fillId="24" borderId="10" xfId="54" applyFont="1" applyFill="1" applyBorder="1" applyAlignment="1">
      <alignment horizontal="center" vertical="center" wrapText="1"/>
      <protection/>
    </xf>
    <xf numFmtId="1" fontId="72" fillId="24" borderId="11" xfId="54" applyNumberFormat="1" applyFont="1" applyFill="1" applyBorder="1" applyAlignment="1">
      <alignment horizontal="center" vertical="center" wrapText="1"/>
      <protection/>
    </xf>
    <xf numFmtId="0" fontId="72" fillId="24" borderId="11" xfId="54" applyFont="1" applyFill="1" applyBorder="1" applyAlignment="1">
      <alignment horizontal="center" vertical="center" wrapText="1"/>
      <protection/>
    </xf>
    <xf numFmtId="1" fontId="72" fillId="24" borderId="10" xfId="54" applyNumberFormat="1" applyFont="1" applyFill="1" applyBorder="1" applyAlignment="1">
      <alignment horizontal="center" vertical="center" wrapText="1"/>
      <protection/>
    </xf>
    <xf numFmtId="2" fontId="70" fillId="24" borderId="10" xfId="0" applyNumberFormat="1" applyFont="1" applyFill="1" applyBorder="1" applyAlignment="1">
      <alignment horizontal="justify" vertical="top" wrapText="1"/>
    </xf>
    <xf numFmtId="191" fontId="70" fillId="24" borderId="10" xfId="54" applyNumberFormat="1" applyFont="1" applyFill="1" applyBorder="1" applyAlignment="1">
      <alignment horizontal="center" vertical="center" wrapText="1"/>
      <protection/>
    </xf>
    <xf numFmtId="192" fontId="65" fillId="24" borderId="0" xfId="54" applyNumberFormat="1" applyFont="1" applyFill="1" applyBorder="1">
      <alignment/>
      <protection/>
    </xf>
    <xf numFmtId="193" fontId="75" fillId="24" borderId="0" xfId="54" applyNumberFormat="1" applyFont="1" applyFill="1">
      <alignment/>
      <protection/>
    </xf>
    <xf numFmtId="193" fontId="76" fillId="24" borderId="13" xfId="54" applyNumberFormat="1" applyFont="1" applyFill="1" applyBorder="1">
      <alignment/>
      <protection/>
    </xf>
    <xf numFmtId="2" fontId="55" fillId="24" borderId="10" xfId="0" applyNumberFormat="1" applyFont="1" applyFill="1" applyBorder="1" applyAlignment="1">
      <alignment horizontal="justify" vertical="top" wrapText="1"/>
    </xf>
    <xf numFmtId="191" fontId="55" fillId="24" borderId="10" xfId="54" applyNumberFormat="1" applyFont="1" applyFill="1" applyBorder="1" applyAlignment="1">
      <alignment horizontal="center" vertical="center" wrapText="1"/>
      <protection/>
    </xf>
    <xf numFmtId="1" fontId="70" fillId="24" borderId="10" xfId="54" applyNumberFormat="1" applyFont="1" applyFill="1" applyBorder="1" applyAlignment="1" applyProtection="1">
      <alignment horizontal="justify" vertical="top" wrapText="1"/>
      <protection locked="0"/>
    </xf>
    <xf numFmtId="1" fontId="70" fillId="24" borderId="10" xfId="54" applyNumberFormat="1" applyFont="1" applyFill="1" applyBorder="1" applyAlignment="1" applyProtection="1">
      <alignment horizontal="justify" vertical="top" wrapText="1"/>
      <protection/>
    </xf>
    <xf numFmtId="1" fontId="70" fillId="24" borderId="10" xfId="55" applyNumberFormat="1" applyFont="1" applyFill="1" applyBorder="1" applyAlignment="1" applyProtection="1">
      <alignment horizontal="justify" vertical="top" wrapText="1"/>
      <protection locked="0"/>
    </xf>
    <xf numFmtId="193" fontId="35" fillId="24" borderId="10" xfId="54" applyNumberFormat="1" applyFont="1" applyFill="1" applyBorder="1" applyAlignment="1">
      <alignment horizontal="right" vertical="center"/>
      <protection/>
    </xf>
    <xf numFmtId="193" fontId="37" fillId="24" borderId="10" xfId="54" applyNumberFormat="1" applyFont="1" applyFill="1" applyBorder="1" applyAlignment="1">
      <alignment horizontal="right" vertical="center"/>
      <protection/>
    </xf>
    <xf numFmtId="49" fontId="70" fillId="24" borderId="10" xfId="0" applyNumberFormat="1" applyFont="1" applyFill="1" applyBorder="1" applyAlignment="1" applyProtection="1">
      <alignment horizontal="justify" vertical="top" wrapText="1"/>
      <protection/>
    </xf>
    <xf numFmtId="1" fontId="70" fillId="24" borderId="10" xfId="0" applyNumberFormat="1" applyFont="1" applyFill="1" applyBorder="1" applyAlignment="1">
      <alignment horizontal="center" vertical="center" wrapText="1"/>
    </xf>
    <xf numFmtId="49" fontId="70" fillId="24" borderId="10" xfId="0" applyNumberFormat="1" applyFont="1" applyFill="1" applyBorder="1" applyAlignment="1" applyProtection="1">
      <alignment horizontal="justify" vertical="top" wrapText="1"/>
      <protection hidden="1"/>
    </xf>
    <xf numFmtId="1" fontId="70" fillId="24" borderId="10" xfId="0" applyNumberFormat="1" applyFont="1" applyFill="1" applyBorder="1" applyAlignment="1" applyProtection="1">
      <alignment horizontal="center" vertical="center" wrapText="1"/>
      <protection hidden="1"/>
    </xf>
    <xf numFmtId="49" fontId="55" fillId="24" borderId="10" xfId="0" applyNumberFormat="1" applyFont="1" applyFill="1" applyBorder="1" applyAlignment="1" applyProtection="1">
      <alignment horizontal="justify" vertical="top" wrapText="1"/>
      <protection hidden="1"/>
    </xf>
    <xf numFmtId="49" fontId="72" fillId="24" borderId="10" xfId="0" applyNumberFormat="1" applyFont="1" applyFill="1" applyBorder="1" applyAlignment="1" applyProtection="1">
      <alignment horizontal="justify" vertical="top" wrapText="1"/>
      <protection hidden="1"/>
    </xf>
    <xf numFmtId="1" fontId="72" fillId="24" borderId="10" xfId="0" applyNumberFormat="1" applyFont="1" applyFill="1" applyBorder="1" applyAlignment="1" applyProtection="1">
      <alignment horizontal="center" vertical="center" wrapText="1"/>
      <protection hidden="1"/>
    </xf>
    <xf numFmtId="1" fontId="55" fillId="24" borderId="10" xfId="0" applyNumberFormat="1" applyFont="1" applyFill="1" applyBorder="1" applyAlignment="1" applyProtection="1">
      <alignment horizontal="center" vertical="center" wrapText="1"/>
      <protection hidden="1"/>
    </xf>
    <xf numFmtId="1" fontId="55" fillId="24" borderId="10" xfId="54" applyNumberFormat="1" applyFont="1" applyFill="1" applyBorder="1" applyAlignment="1" applyProtection="1">
      <alignment horizontal="justify" vertical="top" wrapText="1"/>
      <protection/>
    </xf>
    <xf numFmtId="1" fontId="55" fillId="24" borderId="10" xfId="54" applyNumberFormat="1" applyFont="1" applyFill="1" applyBorder="1" applyAlignment="1" applyProtection="1">
      <alignment horizontal="justify" vertical="top" wrapText="1"/>
      <protection locked="0"/>
    </xf>
    <xf numFmtId="193" fontId="36" fillId="24" borderId="10" xfId="54" applyNumberFormat="1" applyFont="1" applyFill="1" applyBorder="1" applyAlignment="1">
      <alignment vertical="center" wrapText="1"/>
      <protection/>
    </xf>
    <xf numFmtId="1" fontId="55" fillId="24" borderId="10" xfId="55" applyNumberFormat="1" applyFont="1" applyFill="1" applyBorder="1" applyAlignment="1" applyProtection="1">
      <alignment horizontal="justify" vertical="top" wrapText="1"/>
      <protection locked="0"/>
    </xf>
    <xf numFmtId="1" fontId="72" fillId="24" borderId="10" xfId="55" applyNumberFormat="1" applyFont="1" applyFill="1" applyBorder="1" applyAlignment="1" applyProtection="1">
      <alignment horizontal="justify" vertical="top" wrapText="1"/>
      <protection locked="0"/>
    </xf>
    <xf numFmtId="191" fontId="72" fillId="24" borderId="10" xfId="54" applyNumberFormat="1" applyFont="1" applyFill="1" applyBorder="1" applyAlignment="1">
      <alignment horizontal="center" vertical="center" wrapText="1"/>
      <protection/>
    </xf>
    <xf numFmtId="4" fontId="75" fillId="24" borderId="0" xfId="54" applyNumberFormat="1" applyFont="1" applyFill="1">
      <alignment/>
      <protection/>
    </xf>
    <xf numFmtId="0" fontId="55" fillId="24" borderId="10" xfId="54" applyNumberFormat="1" applyFont="1" applyFill="1" applyBorder="1" applyAlignment="1">
      <alignment horizontal="center" vertical="center" wrapText="1"/>
      <protection/>
    </xf>
    <xf numFmtId="192" fontId="77" fillId="24" borderId="0" xfId="54" applyNumberFormat="1" applyFont="1" applyFill="1" applyBorder="1">
      <alignment/>
      <protection/>
    </xf>
    <xf numFmtId="193" fontId="73" fillId="24" borderId="0" xfId="54" applyNumberFormat="1" applyFont="1" applyFill="1">
      <alignment/>
      <protection/>
    </xf>
    <xf numFmtId="0" fontId="33" fillId="24" borderId="0" xfId="54" applyFont="1" applyFill="1" applyBorder="1">
      <alignment/>
      <protection/>
    </xf>
    <xf numFmtId="0" fontId="33" fillId="24" borderId="0" xfId="54" applyFont="1" applyFill="1">
      <alignment/>
      <protection/>
    </xf>
    <xf numFmtId="0" fontId="69" fillId="24" borderId="13" xfId="54" applyFont="1" applyFill="1" applyBorder="1">
      <alignment/>
      <protection/>
    </xf>
    <xf numFmtId="1" fontId="55" fillId="24" borderId="10" xfId="54" applyNumberFormat="1" applyFont="1" applyFill="1" applyBorder="1" applyAlignment="1">
      <alignment horizontal="center" vertical="center" wrapText="1"/>
      <protection/>
    </xf>
    <xf numFmtId="0" fontId="55" fillId="24" borderId="10" xfId="0" applyFont="1" applyFill="1" applyBorder="1" applyAlignment="1" applyProtection="1">
      <alignment horizontal="center" vertical="center" wrapText="1"/>
      <protection/>
    </xf>
    <xf numFmtId="0" fontId="55" fillId="24" borderId="14" xfId="54" applyFont="1" applyFill="1" applyBorder="1" applyAlignment="1">
      <alignment horizontal="center" vertical="center" wrapText="1"/>
      <protection/>
    </xf>
    <xf numFmtId="0" fontId="55" fillId="24" borderId="0" xfId="54" applyFont="1" applyFill="1" applyBorder="1" applyAlignment="1">
      <alignment horizontal="left" vertical="center" wrapText="1"/>
      <protection/>
    </xf>
    <xf numFmtId="0" fontId="55" fillId="24" borderId="0" xfId="54" applyFont="1" applyFill="1" applyBorder="1">
      <alignment/>
      <protection/>
    </xf>
    <xf numFmtId="0" fontId="55" fillId="24" borderId="0" xfId="54" applyFont="1" applyFill="1">
      <alignment/>
      <protection/>
    </xf>
    <xf numFmtId="193" fontId="73" fillId="3" borderId="0" xfId="54" applyNumberFormat="1" applyFont="1" applyFill="1">
      <alignment/>
      <protection/>
    </xf>
    <xf numFmtId="193" fontId="74" fillId="3" borderId="13" xfId="54" applyNumberFormat="1" applyFont="1" applyFill="1" applyBorder="1">
      <alignment/>
      <protection/>
    </xf>
    <xf numFmtId="0" fontId="33" fillId="3" borderId="0" xfId="54" applyFont="1" applyFill="1" applyAlignment="1">
      <alignment wrapText="1"/>
      <protection/>
    </xf>
    <xf numFmtId="193" fontId="36" fillId="3" borderId="10" xfId="54" applyNumberFormat="1" applyFont="1" applyFill="1" applyBorder="1" applyAlignment="1">
      <alignment horizontal="right" vertical="center"/>
      <protection/>
    </xf>
    <xf numFmtId="0" fontId="71" fillId="24" borderId="13" xfId="54" applyFont="1" applyFill="1" applyBorder="1">
      <alignment/>
      <protection/>
    </xf>
    <xf numFmtId="1" fontId="72" fillId="24" borderId="10" xfId="54" applyNumberFormat="1" applyFont="1" applyFill="1" applyBorder="1" applyAlignment="1">
      <alignment horizontal="center" vertical="top" wrapText="1"/>
      <protection/>
    </xf>
    <xf numFmtId="0" fontId="72" fillId="24" borderId="10" xfId="54" applyFont="1" applyFill="1" applyBorder="1" applyAlignment="1">
      <alignment horizontal="center" vertical="center" wrapText="1"/>
      <protection/>
    </xf>
    <xf numFmtId="0" fontId="73" fillId="24" borderId="0" xfId="54" applyFont="1" applyFill="1">
      <alignment/>
      <protection/>
    </xf>
    <xf numFmtId="0" fontId="74" fillId="24" borderId="13" xfId="54" applyFont="1" applyFill="1" applyBorder="1">
      <alignment/>
      <protection/>
    </xf>
    <xf numFmtId="0" fontId="70" fillId="24" borderId="10" xfId="55" applyFont="1" applyFill="1" applyBorder="1" applyAlignment="1" applyProtection="1">
      <alignment horizontal="justify" vertical="top" wrapText="1"/>
      <protection/>
    </xf>
    <xf numFmtId="1" fontId="70" fillId="24" borderId="10" xfId="54" applyNumberFormat="1" applyFont="1" applyFill="1" applyBorder="1" applyAlignment="1">
      <alignment horizontal="center" vertical="center" wrapText="1"/>
      <protection/>
    </xf>
    <xf numFmtId="0" fontId="76" fillId="24" borderId="13" xfId="54" applyFont="1" applyFill="1" applyBorder="1">
      <alignment/>
      <protection/>
    </xf>
    <xf numFmtId="0" fontId="75" fillId="24" borderId="0" xfId="54" applyFont="1" applyFill="1">
      <alignment/>
      <protection/>
    </xf>
    <xf numFmtId="0" fontId="34" fillId="24" borderId="10" xfId="54" applyNumberFormat="1" applyFont="1" applyFill="1" applyBorder="1" applyAlignment="1">
      <alignment horizontal="right" vertical="center" wrapText="1"/>
      <protection/>
    </xf>
    <xf numFmtId="193" fontId="36" fillId="24" borderId="10" xfId="54" applyNumberFormat="1" applyFont="1" applyFill="1" applyBorder="1" applyAlignment="1">
      <alignment vertical="center"/>
      <protection/>
    </xf>
    <xf numFmtId="193" fontId="37" fillId="24" borderId="10" xfId="54" applyNumberFormat="1" applyFont="1" applyFill="1" applyBorder="1" applyAlignment="1">
      <alignment vertical="center"/>
      <protection/>
    </xf>
    <xf numFmtId="1" fontId="55" fillId="24" borderId="10" xfId="54" applyNumberFormat="1" applyFont="1" applyFill="1" applyBorder="1" applyAlignment="1">
      <alignment horizontal="justify" vertical="top" wrapText="1"/>
      <protection/>
    </xf>
    <xf numFmtId="1" fontId="72" fillId="24" borderId="10" xfId="54" applyNumberFormat="1" applyFont="1" applyFill="1" applyBorder="1" applyAlignment="1" applyProtection="1">
      <alignment horizontal="justify" vertical="top" wrapText="1"/>
      <protection/>
    </xf>
    <xf numFmtId="49" fontId="55" fillId="24" borderId="10" xfId="0" applyNumberFormat="1" applyFont="1" applyFill="1" applyBorder="1" applyAlignment="1" applyProtection="1">
      <alignment horizontal="justify" vertical="top" wrapText="1"/>
      <protection/>
    </xf>
    <xf numFmtId="193" fontId="34" fillId="0" borderId="10" xfId="54" applyNumberFormat="1" applyFont="1" applyFill="1" applyBorder="1" applyAlignment="1">
      <alignment horizontal="right" vertical="center" wrapText="1"/>
      <protection/>
    </xf>
    <xf numFmtId="1" fontId="55" fillId="3" borderId="10" xfId="55" applyNumberFormat="1" applyFont="1" applyFill="1" applyBorder="1" applyAlignment="1" applyProtection="1">
      <alignment horizontal="justify" vertical="top" wrapText="1"/>
      <protection locked="0"/>
    </xf>
    <xf numFmtId="191" fontId="55" fillId="3" borderId="10" xfId="54" applyNumberFormat="1" applyFont="1" applyFill="1" applyBorder="1" applyAlignment="1">
      <alignment horizontal="center" vertical="center" wrapText="1"/>
      <protection/>
    </xf>
    <xf numFmtId="193" fontId="33" fillId="3" borderId="10" xfId="54" applyNumberFormat="1" applyFont="1" applyFill="1" applyBorder="1" applyAlignment="1">
      <alignment horizontal="right" vertical="center"/>
      <protection/>
    </xf>
    <xf numFmtId="193" fontId="22" fillId="3" borderId="10" xfId="54" applyNumberFormat="1" applyFont="1" applyFill="1" applyBorder="1" applyAlignment="1">
      <alignment horizontal="right" vertical="center" wrapText="1"/>
      <protection/>
    </xf>
    <xf numFmtId="193" fontId="36" fillId="3" borderId="10" xfId="54" applyNumberFormat="1" applyFont="1" applyFill="1" applyBorder="1" applyAlignment="1">
      <alignment horizontal="right" vertical="center" wrapText="1"/>
      <protection/>
    </xf>
    <xf numFmtId="193" fontId="36" fillId="3" borderId="10" xfId="54" applyNumberFormat="1" applyFont="1" applyFill="1" applyBorder="1" applyAlignment="1">
      <alignment horizontal="right" vertical="center"/>
      <protection/>
    </xf>
    <xf numFmtId="192" fontId="77" fillId="3" borderId="0" xfId="54" applyNumberFormat="1" applyFont="1" applyFill="1" applyBorder="1">
      <alignment/>
      <protection/>
    </xf>
    <xf numFmtId="49" fontId="72" fillId="24" borderId="10" xfId="0" applyNumberFormat="1" applyFont="1" applyFill="1" applyBorder="1" applyAlignment="1" applyProtection="1">
      <alignment horizontal="justify" vertical="top" wrapText="1"/>
      <protection/>
    </xf>
    <xf numFmtId="1" fontId="70" fillId="24" borderId="10" xfId="54" applyNumberFormat="1" applyFont="1" applyFill="1" applyBorder="1" applyAlignment="1" applyProtection="1">
      <alignment horizontal="left" vertical="top" wrapText="1"/>
      <protection locked="0"/>
    </xf>
    <xf numFmtId="0" fontId="55" fillId="24" borderId="10" xfId="0" applyFont="1" applyFill="1" applyBorder="1" applyAlignment="1" applyProtection="1">
      <alignment horizontal="justify" vertical="top" wrapText="1"/>
      <protection/>
    </xf>
    <xf numFmtId="0" fontId="72" fillId="24" borderId="10" xfId="0" applyFont="1" applyFill="1" applyBorder="1" applyAlignment="1">
      <alignment horizontal="justify" vertical="top" wrapText="1"/>
    </xf>
    <xf numFmtId="0" fontId="72" fillId="24" borderId="10" xfId="0" applyNumberFormat="1" applyFont="1" applyFill="1" applyBorder="1" applyAlignment="1">
      <alignment horizontal="left" vertical="top" wrapText="1"/>
    </xf>
    <xf numFmtId="193" fontId="74" fillId="24" borderId="13" xfId="54" applyNumberFormat="1" applyFont="1" applyFill="1" applyBorder="1">
      <alignment/>
      <protection/>
    </xf>
    <xf numFmtId="0" fontId="33" fillId="24" borderId="10" xfId="54" applyNumberFormat="1" applyFont="1" applyFill="1" applyBorder="1" applyAlignment="1">
      <alignment horizontal="right" vertical="center"/>
      <protection/>
    </xf>
    <xf numFmtId="1" fontId="55" fillId="24" borderId="10" xfId="55" applyNumberFormat="1" applyFont="1" applyFill="1" applyBorder="1" applyAlignment="1" applyProtection="1">
      <alignment horizontal="left" vertical="top" wrapText="1"/>
      <protection locked="0"/>
    </xf>
    <xf numFmtId="191" fontId="70" fillId="25" borderId="10" xfId="54" applyNumberFormat="1" applyFont="1" applyFill="1" applyBorder="1" applyAlignment="1">
      <alignment horizontal="center" vertical="center" wrapText="1"/>
      <protection/>
    </xf>
    <xf numFmtId="192" fontId="65" fillId="25" borderId="0" xfId="54" applyNumberFormat="1" applyFont="1" applyFill="1" applyBorder="1">
      <alignment/>
      <protection/>
    </xf>
    <xf numFmtId="193" fontId="75" fillId="25" borderId="0" xfId="54" applyNumberFormat="1" applyFont="1" applyFill="1">
      <alignment/>
      <protection/>
    </xf>
    <xf numFmtId="193" fontId="76" fillId="25" borderId="13" xfId="54" applyNumberFormat="1" applyFont="1" applyFill="1" applyBorder="1">
      <alignment/>
      <protection/>
    </xf>
    <xf numFmtId="1" fontId="70" fillId="25" borderId="10" xfId="55" applyNumberFormat="1" applyFont="1" applyFill="1" applyBorder="1" applyAlignment="1" applyProtection="1">
      <alignment horizontal="justify" vertical="top" wrapText="1"/>
      <protection locked="0"/>
    </xf>
    <xf numFmtId="1" fontId="22" fillId="25" borderId="10" xfId="54" applyNumberFormat="1" applyFont="1" applyFill="1" applyBorder="1" applyAlignment="1" applyProtection="1">
      <alignment horizontal="justify" vertical="top" wrapText="1"/>
      <protection/>
    </xf>
    <xf numFmtId="192" fontId="33" fillId="24" borderId="10" xfId="54" applyNumberFormat="1" applyFont="1" applyFill="1" applyBorder="1" applyAlignment="1">
      <alignment horizontal="right" vertical="center" wrapText="1"/>
      <protection/>
    </xf>
    <xf numFmtId="192" fontId="33" fillId="24" borderId="10" xfId="54" applyNumberFormat="1" applyFont="1" applyFill="1" applyBorder="1" applyAlignment="1">
      <alignment horizontal="right" vertical="center"/>
      <protection/>
    </xf>
    <xf numFmtId="1" fontId="70" fillId="25" borderId="10" xfId="54" applyNumberFormat="1" applyFont="1" applyFill="1" applyBorder="1" applyAlignment="1">
      <alignment horizontal="left" vertical="top" wrapText="1"/>
      <protection/>
    </xf>
    <xf numFmtId="1" fontId="70" fillId="25" borderId="10" xfId="55" applyNumberFormat="1" applyFont="1" applyFill="1" applyBorder="1" applyAlignment="1" applyProtection="1">
      <alignment horizontal="left" vertical="top" wrapText="1"/>
      <protection locked="0"/>
    </xf>
    <xf numFmtId="191" fontId="70" fillId="25" borderId="10" xfId="54" applyNumberFormat="1" applyFont="1" applyFill="1" applyBorder="1" applyAlignment="1">
      <alignment horizontal="left" vertical="center" wrapText="1"/>
      <protection/>
    </xf>
    <xf numFmtId="1" fontId="75" fillId="24" borderId="0" xfId="54" applyNumberFormat="1" applyFont="1" applyFill="1" applyAlignment="1" applyProtection="1">
      <alignment vertical="center" wrapText="1"/>
      <protection/>
    </xf>
    <xf numFmtId="1" fontId="55" fillId="24" borderId="0" xfId="54" applyNumberFormat="1" applyFont="1" applyFill="1" applyAlignment="1" applyProtection="1">
      <alignment horizontal="center"/>
      <protection/>
    </xf>
    <xf numFmtId="0" fontId="81" fillId="24" borderId="0" xfId="54" applyFont="1" applyFill="1" applyAlignment="1">
      <alignment vertical="center"/>
      <protection/>
    </xf>
    <xf numFmtId="192" fontId="81" fillId="24" borderId="0" xfId="54" applyNumberFormat="1" applyFont="1" applyFill="1" applyAlignment="1">
      <alignment vertical="center"/>
      <protection/>
    </xf>
    <xf numFmtId="0" fontId="73" fillId="24" borderId="0" xfId="54" applyFont="1" applyFill="1" applyBorder="1">
      <alignment/>
      <protection/>
    </xf>
    <xf numFmtId="0" fontId="73" fillId="24" borderId="16" xfId="54" applyFont="1" applyFill="1" applyBorder="1">
      <alignment/>
      <protection/>
    </xf>
    <xf numFmtId="192" fontId="73" fillId="24" borderId="0" xfId="54" applyNumberFormat="1" applyFont="1" applyFill="1">
      <alignment/>
      <protection/>
    </xf>
    <xf numFmtId="192" fontId="73" fillId="24" borderId="13" xfId="54" applyNumberFormat="1" applyFont="1" applyFill="1" applyBorder="1">
      <alignment/>
      <protection/>
    </xf>
    <xf numFmtId="192" fontId="74" fillId="24" borderId="13" xfId="54" applyNumberFormat="1" applyFont="1" applyFill="1" applyBorder="1">
      <alignment/>
      <protection/>
    </xf>
    <xf numFmtId="0" fontId="55" fillId="24" borderId="0" xfId="54" applyFont="1" applyFill="1" applyAlignment="1">
      <alignment wrapText="1"/>
      <protection/>
    </xf>
    <xf numFmtId="0" fontId="33" fillId="24" borderId="0" xfId="54" applyFont="1" applyFill="1" applyAlignment="1">
      <alignment wrapText="1"/>
      <protection/>
    </xf>
    <xf numFmtId="0" fontId="34" fillId="24" borderId="0" xfId="54" applyFont="1" applyFill="1" applyAlignment="1">
      <alignment wrapText="1"/>
      <protection/>
    </xf>
    <xf numFmtId="0" fontId="22" fillId="24" borderId="0" xfId="54" applyFont="1" applyFill="1" applyAlignment="1">
      <alignment wrapText="1"/>
      <protection/>
    </xf>
    <xf numFmtId="0" fontId="70" fillId="24" borderId="0" xfId="54" applyFont="1" applyFill="1" applyAlignment="1">
      <alignment wrapText="1"/>
      <protection/>
    </xf>
    <xf numFmtId="0" fontId="72" fillId="24" borderId="0" xfId="54" applyFont="1" applyFill="1" applyAlignment="1">
      <alignment wrapText="1"/>
      <protection/>
    </xf>
    <xf numFmtId="0" fontId="83" fillId="24" borderId="0" xfId="54" applyFont="1" applyFill="1" applyAlignment="1">
      <alignment wrapText="1"/>
      <protection/>
    </xf>
    <xf numFmtId="0" fontId="84" fillId="24" borderId="0" xfId="54" applyFont="1" applyFill="1" applyAlignment="1">
      <alignment wrapText="1"/>
      <protection/>
    </xf>
    <xf numFmtId="0" fontId="55" fillId="24" borderId="0" xfId="54" applyFont="1" applyFill="1" applyBorder="1" applyAlignment="1">
      <alignment wrapText="1"/>
      <protection/>
    </xf>
    <xf numFmtId="0" fontId="22" fillId="24" borderId="0" xfId="54" applyFont="1" applyFill="1" applyBorder="1" applyAlignment="1">
      <alignment wrapText="1"/>
      <protection/>
    </xf>
    <xf numFmtId="0" fontId="33" fillId="24" borderId="0" xfId="54" applyFont="1" applyFill="1" applyBorder="1" applyAlignment="1">
      <alignment wrapText="1"/>
      <protection/>
    </xf>
    <xf numFmtId="0" fontId="84" fillId="24" borderId="0" xfId="54" applyFont="1" applyFill="1" applyBorder="1" applyAlignment="1">
      <alignment wrapText="1"/>
      <protection/>
    </xf>
    <xf numFmtId="0" fontId="22" fillId="25" borderId="0" xfId="54" applyFont="1" applyFill="1" applyAlignment="1">
      <alignment wrapText="1"/>
      <protection/>
    </xf>
    <xf numFmtId="1" fontId="72" fillId="24" borderId="10" xfId="0" applyNumberFormat="1" applyFont="1" applyFill="1" applyBorder="1" applyAlignment="1">
      <alignment horizontal="center" vertical="center" wrapText="1"/>
    </xf>
    <xf numFmtId="1" fontId="70" fillId="25" borderId="10" xfId="55" applyNumberFormat="1" applyFont="1" applyFill="1" applyBorder="1" applyAlignment="1" applyProtection="1">
      <alignment horizontal="center" vertical="center" wrapText="1"/>
      <protection locked="0"/>
    </xf>
    <xf numFmtId="0" fontId="55" fillId="25" borderId="0" xfId="54" applyFont="1" applyFill="1" applyAlignment="1">
      <alignment wrapText="1"/>
      <protection/>
    </xf>
    <xf numFmtId="1" fontId="70" fillId="24" borderId="0" xfId="55" applyNumberFormat="1" applyFont="1" applyFill="1" applyBorder="1" applyAlignment="1" applyProtection="1">
      <alignment horizontal="center" vertical="center" wrapText="1"/>
      <protection locked="0"/>
    </xf>
    <xf numFmtId="0" fontId="73" fillId="24" borderId="13" xfId="54" applyFont="1" applyFill="1" applyBorder="1">
      <alignment/>
      <protection/>
    </xf>
    <xf numFmtId="192" fontId="77" fillId="26" borderId="0" xfId="54" applyNumberFormat="1" applyFont="1" applyFill="1" applyBorder="1">
      <alignment/>
      <protection/>
    </xf>
    <xf numFmtId="193" fontId="73" fillId="26" borderId="0" xfId="54" applyNumberFormat="1" applyFont="1" applyFill="1">
      <alignment/>
      <protection/>
    </xf>
    <xf numFmtId="193" fontId="74" fillId="26" borderId="13" xfId="54" applyNumberFormat="1" applyFont="1" applyFill="1" applyBorder="1">
      <alignment/>
      <protection/>
    </xf>
    <xf numFmtId="0" fontId="33" fillId="26" borderId="0" xfId="54" applyFont="1" applyFill="1" applyAlignment="1">
      <alignment wrapText="1"/>
      <protection/>
    </xf>
    <xf numFmtId="191" fontId="55" fillId="24" borderId="12" xfId="54" applyNumberFormat="1" applyFont="1" applyFill="1" applyBorder="1" applyAlignment="1">
      <alignment horizontal="center" vertical="center" wrapText="1"/>
      <protection/>
    </xf>
    <xf numFmtId="0" fontId="72" fillId="0" borderId="10" xfId="0" applyNumberFormat="1" applyFont="1" applyFill="1" applyBorder="1" applyAlignment="1">
      <alignment horizontal="justify" vertical="top" wrapText="1"/>
    </xf>
    <xf numFmtId="1" fontId="22" fillId="24" borderId="18" xfId="54" applyNumberFormat="1" applyFont="1" applyFill="1" applyBorder="1" applyAlignment="1" applyProtection="1">
      <alignment horizontal="justify" vertical="top" wrapText="1"/>
      <protection/>
    </xf>
    <xf numFmtId="0" fontId="55" fillId="0" borderId="10" xfId="0" applyNumberFormat="1" applyFont="1" applyFill="1" applyBorder="1" applyAlignment="1" applyProtection="1">
      <alignment vertical="center" wrapText="1"/>
      <protection/>
    </xf>
    <xf numFmtId="1" fontId="70" fillId="24" borderId="18" xfId="55" applyNumberFormat="1" applyFont="1" applyFill="1" applyBorder="1" applyAlignment="1" applyProtection="1">
      <alignment horizontal="justify" vertical="top" wrapText="1"/>
      <protection locked="0"/>
    </xf>
    <xf numFmtId="1" fontId="75" fillId="24" borderId="0" xfId="54" applyNumberFormat="1" applyFont="1" applyFill="1" applyBorder="1" applyAlignment="1" applyProtection="1">
      <alignment vertical="center" wrapText="1"/>
      <protection/>
    </xf>
    <xf numFmtId="1" fontId="55" fillId="24" borderId="0" xfId="54" applyNumberFormat="1" applyFont="1" applyFill="1" applyBorder="1" applyAlignment="1" applyProtection="1">
      <alignment horizontal="center"/>
      <protection/>
    </xf>
    <xf numFmtId="0" fontId="81" fillId="24" borderId="0" xfId="54" applyFont="1" applyFill="1" applyBorder="1" applyAlignment="1">
      <alignment vertical="center"/>
      <protection/>
    </xf>
    <xf numFmtId="192" fontId="81" fillId="24" borderId="0" xfId="54" applyNumberFormat="1" applyFont="1" applyFill="1" applyBorder="1" applyAlignment="1">
      <alignment vertical="center"/>
      <protection/>
    </xf>
    <xf numFmtId="192" fontId="22" fillId="24" borderId="19" xfId="54" applyNumberFormat="1" applyFont="1" applyFill="1" applyBorder="1" applyAlignment="1" applyProtection="1">
      <alignment horizontal="justify" vertical="top" wrapText="1"/>
      <protection/>
    </xf>
    <xf numFmtId="192" fontId="75" fillId="24" borderId="19" xfId="54" applyNumberFormat="1" applyFont="1" applyFill="1" applyBorder="1" applyAlignment="1" applyProtection="1">
      <alignment vertical="center" wrapText="1"/>
      <protection/>
    </xf>
    <xf numFmtId="192" fontId="73" fillId="24" borderId="19" xfId="54" applyNumberFormat="1" applyFont="1" applyFill="1" applyBorder="1" applyAlignment="1">
      <alignment horizontal="center" vertical="center"/>
      <protection/>
    </xf>
    <xf numFmtId="192" fontId="81" fillId="24" borderId="19" xfId="54" applyNumberFormat="1" applyFont="1" applyFill="1" applyBorder="1" applyAlignment="1">
      <alignment vertical="center"/>
      <protection/>
    </xf>
    <xf numFmtId="192" fontId="82" fillId="24" borderId="19" xfId="54" applyNumberFormat="1" applyFont="1" applyFill="1" applyBorder="1" applyAlignment="1">
      <alignment vertical="center"/>
      <protection/>
    </xf>
    <xf numFmtId="4" fontId="33" fillId="24" borderId="10" xfId="54" applyNumberFormat="1" applyFont="1" applyFill="1" applyBorder="1" applyAlignment="1">
      <alignment horizontal="right" vertical="center" wrapText="1"/>
      <protection/>
    </xf>
    <xf numFmtId="0" fontId="73" fillId="25" borderId="0" xfId="54" applyFont="1" applyFill="1" applyBorder="1">
      <alignment/>
      <protection/>
    </xf>
    <xf numFmtId="0" fontId="73" fillId="25" borderId="0" xfId="54" applyFont="1" applyFill="1">
      <alignment/>
      <protection/>
    </xf>
    <xf numFmtId="193" fontId="75" fillId="24" borderId="13" xfId="54" applyNumberFormat="1" applyFont="1" applyFill="1" applyBorder="1">
      <alignment/>
      <protection/>
    </xf>
    <xf numFmtId="193" fontId="69" fillId="25" borderId="10" xfId="54" applyNumberFormat="1" applyFont="1" applyFill="1" applyBorder="1">
      <alignment/>
      <protection/>
    </xf>
    <xf numFmtId="193" fontId="73" fillId="24" borderId="13" xfId="54" applyNumberFormat="1" applyFont="1" applyFill="1" applyBorder="1">
      <alignment/>
      <protection/>
    </xf>
    <xf numFmtId="1" fontId="55" fillId="0" borderId="10" xfId="0" applyNumberFormat="1" applyFont="1" applyFill="1" applyBorder="1" applyAlignment="1">
      <alignment horizontal="center" vertical="center" wrapText="1"/>
    </xf>
    <xf numFmtId="193" fontId="33" fillId="24" borderId="10" xfId="54" applyNumberFormat="1" applyFont="1" applyFill="1" applyBorder="1" applyAlignment="1">
      <alignment horizontal="right" vertical="center" wrapText="1"/>
      <protection/>
    </xf>
    <xf numFmtId="2" fontId="55" fillId="24" borderId="10" xfId="0" applyNumberFormat="1" applyFont="1" applyFill="1" applyBorder="1" applyAlignment="1">
      <alignment horizontal="justify" vertical="top" wrapText="1"/>
    </xf>
    <xf numFmtId="191" fontId="55" fillId="24" borderId="10" xfId="54" applyNumberFormat="1" applyFont="1" applyFill="1" applyBorder="1" applyAlignment="1">
      <alignment horizontal="center" vertical="center" wrapText="1"/>
      <protection/>
    </xf>
    <xf numFmtId="193" fontId="33" fillId="24" borderId="10" xfId="54" applyNumberFormat="1" applyFont="1" applyFill="1" applyBorder="1" applyAlignment="1">
      <alignment horizontal="right" vertical="center"/>
      <protection/>
    </xf>
    <xf numFmtId="192" fontId="65" fillId="24" borderId="0" xfId="54" applyNumberFormat="1" applyFont="1" applyFill="1" applyBorder="1">
      <alignment/>
      <protection/>
    </xf>
    <xf numFmtId="193" fontId="75" fillId="24" borderId="0" xfId="54" applyNumberFormat="1" applyFont="1" applyFill="1">
      <alignment/>
      <protection/>
    </xf>
    <xf numFmtId="193" fontId="76" fillId="24" borderId="13" xfId="54" applyNumberFormat="1" applyFont="1" applyFill="1" applyBorder="1">
      <alignment/>
      <protection/>
    </xf>
    <xf numFmtId="0" fontId="33" fillId="24" borderId="0" xfId="54" applyFont="1" applyFill="1" applyAlignment="1">
      <alignment wrapText="1"/>
      <protection/>
    </xf>
    <xf numFmtId="1" fontId="55" fillId="24" borderId="10" xfId="55" applyNumberFormat="1" applyFont="1" applyFill="1" applyBorder="1" applyAlignment="1" applyProtection="1">
      <alignment horizontal="justify" vertical="top" wrapText="1"/>
      <protection locked="0"/>
    </xf>
    <xf numFmtId="193" fontId="36" fillId="24" borderId="10" xfId="54" applyNumberFormat="1" applyFont="1" applyFill="1" applyBorder="1" applyAlignment="1">
      <alignment horizontal="right" vertical="center"/>
      <protection/>
    </xf>
    <xf numFmtId="192" fontId="33" fillId="24" borderId="10" xfId="54" applyNumberFormat="1" applyFont="1" applyFill="1" applyBorder="1" applyAlignment="1">
      <alignment horizontal="right" vertical="center" wrapText="1"/>
      <protection/>
    </xf>
    <xf numFmtId="192" fontId="33" fillId="24" borderId="10" xfId="54" applyNumberFormat="1" applyFont="1" applyFill="1" applyBorder="1" applyAlignment="1">
      <alignment horizontal="right" vertical="center"/>
      <protection/>
    </xf>
    <xf numFmtId="192" fontId="36" fillId="24" borderId="10" xfId="54" applyNumberFormat="1" applyFont="1" applyFill="1" applyBorder="1" applyAlignment="1">
      <alignment horizontal="right" vertical="center"/>
      <protection/>
    </xf>
    <xf numFmtId="192" fontId="77" fillId="24" borderId="0" xfId="54" applyNumberFormat="1" applyFont="1" applyFill="1" applyBorder="1">
      <alignment/>
      <protection/>
    </xf>
    <xf numFmtId="193" fontId="73" fillId="24" borderId="0" xfId="54" applyNumberFormat="1" applyFont="1" applyFill="1">
      <alignment/>
      <protection/>
    </xf>
    <xf numFmtId="193" fontId="74" fillId="24" borderId="13" xfId="54" applyNumberFormat="1" applyFont="1" applyFill="1" applyBorder="1">
      <alignment/>
      <protection/>
    </xf>
    <xf numFmtId="193" fontId="34" fillId="24" borderId="10" xfId="54" applyNumberFormat="1" applyFont="1" applyFill="1" applyBorder="1" applyAlignment="1">
      <alignment horizontal="right" vertical="center" wrapText="1"/>
      <protection/>
    </xf>
    <xf numFmtId="193" fontId="22" fillId="25" borderId="10" xfId="54" applyNumberFormat="1" applyFont="1" applyFill="1" applyBorder="1" applyAlignment="1">
      <alignment horizontal="right" vertical="center" wrapText="1"/>
      <protection/>
    </xf>
    <xf numFmtId="1" fontId="72" fillId="24" borderId="10" xfId="54" applyNumberFormat="1" applyFont="1" applyFill="1" applyBorder="1" applyAlignment="1">
      <alignment horizontal="center" vertical="center" wrapText="1"/>
      <protection/>
    </xf>
    <xf numFmtId="1" fontId="72" fillId="24" borderId="10" xfId="54" applyNumberFormat="1" applyFont="1" applyFill="1" applyBorder="1" applyAlignment="1">
      <alignment horizontal="center" vertical="top" wrapText="1"/>
      <protection/>
    </xf>
    <xf numFmtId="0" fontId="72" fillId="24" borderId="10" xfId="54" applyFont="1" applyFill="1" applyBorder="1" applyAlignment="1">
      <alignment horizontal="center" vertical="center" wrapText="1"/>
      <protection/>
    </xf>
    <xf numFmtId="1" fontId="72" fillId="24" borderId="11" xfId="54" applyNumberFormat="1" applyFont="1" applyFill="1" applyBorder="1" applyAlignment="1">
      <alignment horizontal="center" vertical="center" wrapText="1"/>
      <protection/>
    </xf>
    <xf numFmtId="0" fontId="72" fillId="24" borderId="11" xfId="54" applyFont="1" applyFill="1" applyBorder="1" applyAlignment="1">
      <alignment horizontal="center" vertical="center" wrapText="1"/>
      <protection/>
    </xf>
    <xf numFmtId="0" fontId="55" fillId="24" borderId="10" xfId="54" applyFont="1" applyFill="1" applyBorder="1">
      <alignment/>
      <protection/>
    </xf>
    <xf numFmtId="2" fontId="55" fillId="24" borderId="10" xfId="54" applyNumberFormat="1" applyFont="1" applyFill="1" applyBorder="1">
      <alignment/>
      <protection/>
    </xf>
    <xf numFmtId="0" fontId="55" fillId="24" borderId="0" xfId="54" applyFont="1" applyFill="1">
      <alignment/>
      <protection/>
    </xf>
    <xf numFmtId="0" fontId="71" fillId="24" borderId="13" xfId="54" applyFont="1" applyFill="1" applyBorder="1">
      <alignment/>
      <protection/>
    </xf>
    <xf numFmtId="193" fontId="22" fillId="24" borderId="10" xfId="54" applyNumberFormat="1" applyFont="1" applyFill="1" applyBorder="1" applyAlignment="1">
      <alignment horizontal="right" vertical="center" wrapText="1"/>
      <protection/>
    </xf>
    <xf numFmtId="193" fontId="22" fillId="24" borderId="10" xfId="54" applyNumberFormat="1" applyFont="1" applyFill="1" applyBorder="1" applyAlignment="1">
      <alignment horizontal="right" vertical="center"/>
      <protection/>
    </xf>
    <xf numFmtId="193" fontId="33" fillId="24" borderId="10" xfId="54" applyNumberFormat="1" applyFont="1" applyFill="1" applyBorder="1" applyAlignment="1">
      <alignment vertical="center" wrapText="1"/>
      <protection/>
    </xf>
    <xf numFmtId="193" fontId="22" fillId="25" borderId="10" xfId="54" applyNumberFormat="1" applyFont="1" applyFill="1" applyBorder="1" applyAlignment="1">
      <alignment horizontal="right" vertical="center"/>
      <protection/>
    </xf>
    <xf numFmtId="193" fontId="22" fillId="25" borderId="10" xfId="54" applyNumberFormat="1" applyFont="1" applyFill="1" applyBorder="1" applyAlignment="1">
      <alignment horizontal="center" vertical="center" wrapText="1"/>
      <protection/>
    </xf>
    <xf numFmtId="193" fontId="22" fillId="25" borderId="10" xfId="54" applyNumberFormat="1" applyFont="1" applyFill="1" applyBorder="1" applyAlignment="1">
      <alignment vertical="center" wrapText="1"/>
      <protection/>
    </xf>
    <xf numFmtId="192" fontId="81" fillId="24" borderId="0" xfId="54" applyNumberFormat="1" applyFont="1" applyFill="1" applyBorder="1" applyAlignment="1">
      <alignment vertical="center"/>
      <protection/>
    </xf>
    <xf numFmtId="0" fontId="73" fillId="24" borderId="0" xfId="54" applyFont="1" applyFill="1" applyBorder="1">
      <alignment/>
      <protection/>
    </xf>
    <xf numFmtId="192" fontId="81" fillId="24" borderId="19" xfId="54" applyNumberFormat="1" applyFont="1" applyFill="1" applyBorder="1" applyAlignment="1">
      <alignment vertical="center"/>
      <protection/>
    </xf>
    <xf numFmtId="192" fontId="73" fillId="24" borderId="19" xfId="54" applyNumberFormat="1" applyFont="1" applyFill="1" applyBorder="1" applyAlignment="1">
      <alignment horizontal="center" vertical="center"/>
      <protection/>
    </xf>
    <xf numFmtId="1" fontId="55" fillId="24" borderId="10" xfId="0" applyNumberFormat="1" applyFont="1" applyFill="1" applyBorder="1" applyAlignment="1">
      <alignment horizontal="center" vertical="center" wrapText="1"/>
    </xf>
    <xf numFmtId="0" fontId="55" fillId="24" borderId="10" xfId="0" applyFont="1" applyFill="1" applyBorder="1" applyAlignment="1" applyProtection="1">
      <alignment horizontal="center" vertical="center" wrapText="1"/>
      <protection/>
    </xf>
    <xf numFmtId="0" fontId="55" fillId="24" borderId="10" xfId="54" applyFont="1" applyFill="1" applyBorder="1" applyAlignment="1">
      <alignment horizontal="center" vertical="center" wrapText="1"/>
      <protection/>
    </xf>
    <xf numFmtId="193" fontId="36" fillId="24" borderId="10" xfId="54" applyNumberFormat="1" applyFont="1" applyFill="1" applyBorder="1" applyAlignment="1">
      <alignment horizontal="right" vertical="center" wrapText="1"/>
      <protection/>
    </xf>
    <xf numFmtId="193" fontId="22" fillId="24" borderId="10" xfId="54" applyNumberFormat="1" applyFont="1" applyFill="1" applyBorder="1" applyAlignment="1">
      <alignment vertical="center" wrapText="1"/>
      <protection/>
    </xf>
    <xf numFmtId="193" fontId="34" fillId="24" borderId="10" xfId="54" applyNumberFormat="1" applyFont="1" applyFill="1" applyBorder="1" applyAlignment="1">
      <alignment vertical="center" wrapText="1"/>
      <protection/>
    </xf>
    <xf numFmtId="192" fontId="22" fillId="24" borderId="0" xfId="54" applyNumberFormat="1" applyFont="1" applyFill="1" applyBorder="1" applyAlignment="1">
      <alignment vertical="center" wrapText="1"/>
      <protection/>
    </xf>
    <xf numFmtId="193" fontId="22" fillId="24" borderId="0" xfId="54" applyNumberFormat="1" applyFont="1" applyFill="1" applyBorder="1" applyAlignment="1">
      <alignment vertical="center" wrapText="1"/>
      <protection/>
    </xf>
    <xf numFmtId="192" fontId="81" fillId="24" borderId="0" xfId="54" applyNumberFormat="1" applyFont="1" applyFill="1" applyAlignment="1">
      <alignment vertical="center"/>
      <protection/>
    </xf>
    <xf numFmtId="0" fontId="73" fillId="24" borderId="0" xfId="54" applyFont="1" applyFill="1">
      <alignment/>
      <protection/>
    </xf>
    <xf numFmtId="1" fontId="22" fillId="25" borderId="10" xfId="54" applyNumberFormat="1" applyFont="1" applyFill="1" applyBorder="1" applyAlignment="1" applyProtection="1">
      <alignment horizontal="justify" vertical="top" wrapText="1"/>
      <protection/>
    </xf>
    <xf numFmtId="191" fontId="70" fillId="25" borderId="10" xfId="54" applyNumberFormat="1" applyFont="1" applyFill="1" applyBorder="1" applyAlignment="1">
      <alignment horizontal="center" vertical="center" wrapText="1"/>
      <protection/>
    </xf>
    <xf numFmtId="192" fontId="65" fillId="25" borderId="0" xfId="54" applyNumberFormat="1" applyFont="1" applyFill="1" applyBorder="1">
      <alignment/>
      <protection/>
    </xf>
    <xf numFmtId="193" fontId="75" fillId="25" borderId="0" xfId="54" applyNumberFormat="1" applyFont="1" applyFill="1">
      <alignment/>
      <protection/>
    </xf>
    <xf numFmtId="193" fontId="76" fillId="25" borderId="13" xfId="54" applyNumberFormat="1" applyFont="1" applyFill="1" applyBorder="1">
      <alignment/>
      <protection/>
    </xf>
    <xf numFmtId="0" fontId="22" fillId="25" borderId="0" xfId="54" applyFont="1" applyFill="1" applyAlignment="1">
      <alignment wrapText="1"/>
      <protection/>
    </xf>
    <xf numFmtId="1" fontId="70" fillId="25" borderId="10" xfId="55" applyNumberFormat="1" applyFont="1" applyFill="1" applyBorder="1" applyAlignment="1" applyProtection="1">
      <alignment horizontal="justify" vertical="top" wrapText="1"/>
      <protection locked="0"/>
    </xf>
    <xf numFmtId="1" fontId="70" fillId="25" borderId="10" xfId="54" applyNumberFormat="1" applyFont="1" applyFill="1" applyBorder="1" applyAlignment="1">
      <alignment horizontal="left" vertical="top" wrapText="1"/>
      <protection/>
    </xf>
    <xf numFmtId="193" fontId="22" fillId="25" borderId="10" xfId="54" applyNumberFormat="1" applyFont="1" applyFill="1" applyBorder="1" applyAlignment="1">
      <alignment horizontal="center" vertical="center"/>
      <protection/>
    </xf>
    <xf numFmtId="1" fontId="70" fillId="25" borderId="10" xfId="55" applyNumberFormat="1" applyFont="1" applyFill="1" applyBorder="1" applyAlignment="1" applyProtection="1">
      <alignment horizontal="center" vertical="center" wrapText="1"/>
      <protection locked="0"/>
    </xf>
    <xf numFmtId="0" fontId="55" fillId="25" borderId="0" xfId="54" applyFont="1" applyFill="1" applyAlignment="1">
      <alignment wrapText="1"/>
      <protection/>
    </xf>
    <xf numFmtId="1" fontId="70" fillId="25" borderId="10" xfId="55" applyNumberFormat="1" applyFont="1" applyFill="1" applyBorder="1" applyAlignment="1" applyProtection="1">
      <alignment horizontal="left" vertical="top" wrapText="1"/>
      <protection locked="0"/>
    </xf>
    <xf numFmtId="193" fontId="22" fillId="25" borderId="10" xfId="54" applyNumberFormat="1" applyFont="1" applyFill="1" applyBorder="1" applyAlignment="1">
      <alignment vertical="center"/>
      <protection/>
    </xf>
    <xf numFmtId="191" fontId="70" fillId="25" borderId="10" xfId="54" applyNumberFormat="1" applyFont="1" applyFill="1" applyBorder="1" applyAlignment="1">
      <alignment horizontal="left" vertical="center" wrapText="1"/>
      <protection/>
    </xf>
    <xf numFmtId="0" fontId="81" fillId="25" borderId="0" xfId="54" applyFont="1" applyFill="1" applyBorder="1" applyAlignment="1">
      <alignment vertical="center"/>
      <protection/>
    </xf>
    <xf numFmtId="192" fontId="81" fillId="25" borderId="19" xfId="54" applyNumberFormat="1" applyFont="1" applyFill="1" applyBorder="1" applyAlignment="1">
      <alignment vertical="center"/>
      <protection/>
    </xf>
    <xf numFmtId="1" fontId="55" fillId="25" borderId="10" xfId="0" applyNumberFormat="1" applyFont="1" applyFill="1" applyBorder="1" applyAlignment="1">
      <alignment horizontal="center" vertical="center" wrapText="1"/>
    </xf>
    <xf numFmtId="1" fontId="72" fillId="25" borderId="11" xfId="54" applyNumberFormat="1" applyFont="1" applyFill="1" applyBorder="1" applyAlignment="1">
      <alignment horizontal="center" vertical="center" wrapText="1"/>
      <protection/>
    </xf>
    <xf numFmtId="0" fontId="72" fillId="25" borderId="11" xfId="54" applyFont="1" applyFill="1" applyBorder="1" applyAlignment="1">
      <alignment horizontal="center" vertical="center" wrapText="1"/>
      <protection/>
    </xf>
    <xf numFmtId="193" fontId="33" fillId="25" borderId="10" xfId="54" applyNumberFormat="1" applyFont="1" applyFill="1" applyBorder="1" applyAlignment="1">
      <alignment horizontal="right" vertical="center" wrapText="1"/>
      <protection/>
    </xf>
    <xf numFmtId="193" fontId="34" fillId="25" borderId="10" xfId="54" applyNumberFormat="1" applyFont="1" applyFill="1" applyBorder="1" applyAlignment="1">
      <alignment horizontal="right" vertical="center" wrapText="1"/>
      <protection/>
    </xf>
    <xf numFmtId="193" fontId="33" fillId="25" borderId="10" xfId="54" applyNumberFormat="1" applyFont="1" applyFill="1" applyBorder="1" applyAlignment="1">
      <alignment vertical="center" wrapText="1"/>
      <protection/>
    </xf>
    <xf numFmtId="193" fontId="34" fillId="25" borderId="10" xfId="54" applyNumberFormat="1" applyFont="1" applyFill="1" applyBorder="1" applyAlignment="1">
      <alignment vertical="center" wrapText="1"/>
      <protection/>
    </xf>
    <xf numFmtId="193" fontId="22" fillId="25" borderId="0" xfId="54" applyNumberFormat="1" applyFont="1" applyFill="1" applyBorder="1" applyAlignment="1">
      <alignment vertical="center" wrapText="1"/>
      <protection/>
    </xf>
    <xf numFmtId="0" fontId="81" fillId="25" borderId="0" xfId="54" applyFont="1" applyFill="1" applyAlignment="1">
      <alignment vertical="center"/>
      <protection/>
    </xf>
    <xf numFmtId="1" fontId="70" fillId="24" borderId="15" xfId="54" applyNumberFormat="1" applyFont="1" applyFill="1" applyBorder="1" applyAlignment="1">
      <alignment vertical="center" wrapText="1"/>
      <protection/>
    </xf>
    <xf numFmtId="193" fontId="34" fillId="24" borderId="10" xfId="54" applyNumberFormat="1" applyFont="1" applyFill="1" applyBorder="1" applyAlignment="1">
      <alignment horizontal="right" vertical="center"/>
      <protection/>
    </xf>
    <xf numFmtId="193" fontId="36" fillId="24" borderId="10" xfId="54" applyNumberFormat="1" applyFont="1" applyFill="1" applyBorder="1" applyAlignment="1">
      <alignment horizontal="right" vertical="center"/>
      <protection/>
    </xf>
    <xf numFmtId="193" fontId="35" fillId="24" borderId="10" xfId="54" applyNumberFormat="1" applyFont="1" applyFill="1" applyBorder="1" applyAlignment="1">
      <alignment horizontal="right" vertical="center"/>
      <protection/>
    </xf>
    <xf numFmtId="193" fontId="36" fillId="24" borderId="10" xfId="54" applyNumberFormat="1" applyFont="1" applyFill="1" applyBorder="1" applyAlignment="1">
      <alignment horizontal="right" vertical="center" wrapText="1"/>
      <protection/>
    </xf>
    <xf numFmtId="193" fontId="36" fillId="24" borderId="10" xfId="54" applyNumberFormat="1" applyFont="1" applyFill="1" applyBorder="1" applyAlignment="1">
      <alignment horizontal="right" vertical="center" wrapText="1"/>
      <protection/>
    </xf>
    <xf numFmtId="193" fontId="37" fillId="24" borderId="10" xfId="54" applyNumberFormat="1" applyFont="1" applyFill="1" applyBorder="1" applyAlignment="1">
      <alignment vertical="center" wrapText="1"/>
      <protection/>
    </xf>
    <xf numFmtId="193" fontId="36" fillId="24" borderId="10" xfId="54" applyNumberFormat="1" applyFont="1" applyFill="1" applyBorder="1" applyAlignment="1">
      <alignment vertical="center"/>
      <protection/>
    </xf>
    <xf numFmtId="193" fontId="22" fillId="24" borderId="10" xfId="54" applyNumberFormat="1" applyFont="1" applyFill="1" applyBorder="1" applyAlignment="1">
      <alignment vertical="center"/>
      <protection/>
    </xf>
    <xf numFmtId="193" fontId="33" fillId="24" borderId="10" xfId="54" applyNumberFormat="1" applyFont="1" applyFill="1" applyBorder="1" applyAlignment="1">
      <alignment vertical="center"/>
      <protection/>
    </xf>
    <xf numFmtId="193" fontId="34" fillId="24" borderId="10" xfId="54" applyNumberFormat="1" applyFont="1" applyFill="1" applyBorder="1" applyAlignment="1">
      <alignment vertical="center"/>
      <protection/>
    </xf>
    <xf numFmtId="193" fontId="36" fillId="24" borderId="10" xfId="54" applyNumberFormat="1" applyFont="1" applyFill="1" applyBorder="1" applyAlignment="1">
      <alignment vertical="center"/>
      <protection/>
    </xf>
    <xf numFmtId="0" fontId="73" fillId="24" borderId="13" xfId="54" applyFont="1" applyFill="1" applyBorder="1">
      <alignment/>
      <protection/>
    </xf>
    <xf numFmtId="1" fontId="70" fillId="24" borderId="12" xfId="54" applyNumberFormat="1" applyFont="1" applyFill="1" applyBorder="1" applyAlignment="1">
      <alignment vertical="center" wrapText="1"/>
      <protection/>
    </xf>
    <xf numFmtId="193" fontId="36" fillId="24" borderId="10" xfId="54" applyNumberFormat="1" applyFont="1" applyFill="1" applyBorder="1" applyAlignment="1">
      <alignment vertical="center" wrapText="1"/>
      <protection/>
    </xf>
    <xf numFmtId="193" fontId="35" fillId="24" borderId="10" xfId="54" applyNumberFormat="1" applyFont="1" applyFill="1" applyBorder="1" applyAlignment="1">
      <alignment horizontal="right" vertical="center"/>
      <protection/>
    </xf>
    <xf numFmtId="192" fontId="73" fillId="24" borderId="0" xfId="54" applyNumberFormat="1" applyFont="1" applyFill="1">
      <alignment/>
      <protection/>
    </xf>
    <xf numFmtId="192" fontId="73" fillId="24" borderId="13" xfId="54" applyNumberFormat="1" applyFont="1" applyFill="1" applyBorder="1">
      <alignment/>
      <protection/>
    </xf>
    <xf numFmtId="193" fontId="33" fillId="25" borderId="10" xfId="54" applyNumberFormat="1" applyFont="1" applyFill="1" applyBorder="1" applyAlignment="1">
      <alignment horizontal="right" vertical="center"/>
      <protection/>
    </xf>
    <xf numFmtId="193" fontId="33" fillId="25" borderId="10" xfId="54" applyNumberFormat="1" applyFont="1" applyFill="1" applyBorder="1" applyAlignment="1">
      <alignment vertical="center"/>
      <protection/>
    </xf>
    <xf numFmtId="193" fontId="36" fillId="24" borderId="10" xfId="54" applyNumberFormat="1" applyFont="1" applyFill="1" applyBorder="1" applyAlignment="1">
      <alignment horizontal="right" vertical="center"/>
      <protection/>
    </xf>
    <xf numFmtId="1" fontId="22" fillId="24" borderId="0" xfId="54" applyNumberFormat="1" applyFont="1" applyFill="1" applyBorder="1" applyAlignment="1" applyProtection="1">
      <alignment horizontal="justify" vertical="top" wrapText="1"/>
      <protection/>
    </xf>
    <xf numFmtId="1" fontId="75" fillId="24" borderId="0" xfId="54" applyNumberFormat="1" applyFont="1" applyFill="1" applyBorder="1" applyAlignment="1" applyProtection="1">
      <alignment vertical="center" wrapText="1"/>
      <protection/>
    </xf>
    <xf numFmtId="1" fontId="55" fillId="24" borderId="0" xfId="54" applyNumberFormat="1" applyFont="1" applyFill="1" applyBorder="1" applyAlignment="1" applyProtection="1">
      <alignment horizontal="center"/>
      <protection/>
    </xf>
    <xf numFmtId="0" fontId="73" fillId="24" borderId="16" xfId="54" applyFont="1" applyFill="1" applyBorder="1">
      <alignment/>
      <protection/>
    </xf>
    <xf numFmtId="192" fontId="22" fillId="24" borderId="19" xfId="54" applyNumberFormat="1" applyFont="1" applyFill="1" applyBorder="1" applyAlignment="1" applyProtection="1">
      <alignment horizontal="justify" vertical="top" wrapText="1"/>
      <protection/>
    </xf>
    <xf numFmtId="192" fontId="75" fillId="24" borderId="19" xfId="54" applyNumberFormat="1" applyFont="1" applyFill="1" applyBorder="1" applyAlignment="1" applyProtection="1">
      <alignment vertical="center" wrapText="1"/>
      <protection/>
    </xf>
    <xf numFmtId="0" fontId="33" fillId="24" borderId="0" xfId="54" applyFont="1" applyFill="1" applyBorder="1">
      <alignment/>
      <protection/>
    </xf>
    <xf numFmtId="0" fontId="33" fillId="24" borderId="0" xfId="54" applyFont="1" applyFill="1">
      <alignment/>
      <protection/>
    </xf>
    <xf numFmtId="0" fontId="69" fillId="24" borderId="13" xfId="54" applyFont="1" applyFill="1" applyBorder="1">
      <alignment/>
      <protection/>
    </xf>
    <xf numFmtId="1" fontId="55" fillId="24" borderId="10" xfId="54" applyNumberFormat="1" applyFont="1" applyFill="1" applyBorder="1" applyAlignment="1">
      <alignment horizontal="center" vertical="center" wrapText="1"/>
      <protection/>
    </xf>
    <xf numFmtId="0" fontId="55" fillId="24" borderId="14" xfId="54" applyFont="1" applyFill="1" applyBorder="1" applyAlignment="1">
      <alignment horizontal="center" vertical="center" wrapText="1"/>
      <protection/>
    </xf>
    <xf numFmtId="0" fontId="55" fillId="24" borderId="0" xfId="54" applyFont="1" applyFill="1" applyBorder="1" applyAlignment="1">
      <alignment horizontal="left" vertical="center" wrapText="1"/>
      <protection/>
    </xf>
    <xf numFmtId="0" fontId="55" fillId="24" borderId="0" xfId="54" applyFont="1" applyFill="1" applyBorder="1">
      <alignment/>
      <protection/>
    </xf>
    <xf numFmtId="0" fontId="74" fillId="24" borderId="13" xfId="54" applyFont="1" applyFill="1" applyBorder="1">
      <alignment/>
      <protection/>
    </xf>
    <xf numFmtId="0" fontId="70" fillId="24" borderId="10" xfId="55" applyFont="1" applyFill="1" applyBorder="1" applyAlignment="1" applyProtection="1">
      <alignment horizontal="justify" vertical="top" wrapText="1"/>
      <protection/>
    </xf>
    <xf numFmtId="1" fontId="70" fillId="24" borderId="10" xfId="54" applyNumberFormat="1" applyFont="1" applyFill="1" applyBorder="1" applyAlignment="1">
      <alignment horizontal="center" vertical="center" wrapText="1"/>
      <protection/>
    </xf>
    <xf numFmtId="0" fontId="76" fillId="24" borderId="13" xfId="54" applyFont="1" applyFill="1" applyBorder="1">
      <alignment/>
      <protection/>
    </xf>
    <xf numFmtId="0" fontId="75" fillId="24" borderId="0" xfId="54" applyFont="1" applyFill="1">
      <alignment/>
      <protection/>
    </xf>
    <xf numFmtId="4" fontId="75" fillId="24" borderId="0" xfId="54" applyNumberFormat="1" applyFont="1" applyFill="1">
      <alignment/>
      <protection/>
    </xf>
    <xf numFmtId="0" fontId="55" fillId="24" borderId="0" xfId="54" applyFont="1" applyFill="1" applyAlignment="1">
      <alignment wrapText="1"/>
      <protection/>
    </xf>
    <xf numFmtId="1" fontId="72" fillId="24" borderId="10" xfId="55" applyNumberFormat="1" applyFont="1" applyFill="1" applyBorder="1" applyAlignment="1" applyProtection="1">
      <alignment horizontal="justify" vertical="top" wrapText="1"/>
      <protection locked="0"/>
    </xf>
    <xf numFmtId="191" fontId="72" fillId="24" borderId="10" xfId="54" applyNumberFormat="1" applyFont="1" applyFill="1" applyBorder="1" applyAlignment="1">
      <alignment horizontal="center" vertical="center" wrapText="1"/>
      <protection/>
    </xf>
    <xf numFmtId="0" fontId="34" fillId="24" borderId="0" xfId="54" applyFont="1" applyFill="1" applyAlignment="1">
      <alignment wrapText="1"/>
      <protection/>
    </xf>
    <xf numFmtId="1" fontId="70" fillId="24" borderId="10" xfId="54" applyNumberFormat="1" applyFont="1" applyFill="1" applyBorder="1" applyAlignment="1" applyProtection="1">
      <alignment horizontal="justify" vertical="top" wrapText="1"/>
      <protection locked="0"/>
    </xf>
    <xf numFmtId="191" fontId="70" fillId="24" borderId="10" xfId="54" applyNumberFormat="1" applyFont="1" applyFill="1" applyBorder="1" applyAlignment="1">
      <alignment horizontal="center" vertical="center" wrapText="1"/>
      <protection/>
    </xf>
    <xf numFmtId="0" fontId="22" fillId="24" borderId="0" xfId="54" applyFont="1" applyFill="1" applyAlignment="1">
      <alignment wrapText="1"/>
      <protection/>
    </xf>
    <xf numFmtId="1" fontId="55" fillId="24" borderId="10" xfId="54" applyNumberFormat="1" applyFont="1" applyFill="1" applyBorder="1" applyAlignment="1" applyProtection="1">
      <alignment horizontal="justify" vertical="top" wrapText="1"/>
      <protection locked="0"/>
    </xf>
    <xf numFmtId="0" fontId="70" fillId="24" borderId="0" xfId="54" applyFont="1" applyFill="1" applyAlignment="1">
      <alignment wrapText="1"/>
      <protection/>
    </xf>
    <xf numFmtId="1" fontId="55" fillId="24" borderId="10" xfId="54" applyNumberFormat="1" applyFont="1" applyFill="1" applyBorder="1" applyAlignment="1" applyProtection="1">
      <alignment horizontal="justify" vertical="top" wrapText="1"/>
      <protection/>
    </xf>
    <xf numFmtId="1" fontId="70" fillId="24" borderId="10" xfId="55" applyNumberFormat="1" applyFont="1" applyFill="1" applyBorder="1" applyAlignment="1" applyProtection="1">
      <alignment horizontal="justify" vertical="top" wrapText="1"/>
      <protection locked="0"/>
    </xf>
    <xf numFmtId="1" fontId="70" fillId="24" borderId="10" xfId="54" applyNumberFormat="1" applyFont="1" applyFill="1" applyBorder="1" applyAlignment="1" applyProtection="1">
      <alignment horizontal="justify" vertical="top" wrapText="1"/>
      <protection/>
    </xf>
    <xf numFmtId="0" fontId="55" fillId="24" borderId="10" xfId="54" applyNumberFormat="1" applyFont="1" applyFill="1" applyBorder="1" applyAlignment="1">
      <alignment horizontal="center" vertical="center" wrapText="1"/>
      <protection/>
    </xf>
    <xf numFmtId="0" fontId="72" fillId="24" borderId="0" xfId="54" applyFont="1" applyFill="1" applyAlignment="1">
      <alignment wrapText="1"/>
      <protection/>
    </xf>
    <xf numFmtId="0" fontId="34" fillId="24" borderId="10" xfId="54" applyNumberFormat="1" applyFont="1" applyFill="1" applyBorder="1" applyAlignment="1">
      <alignment horizontal="right" vertical="center" wrapText="1"/>
      <protection/>
    </xf>
    <xf numFmtId="0" fontId="83" fillId="24" borderId="0" xfId="54" applyFont="1" applyFill="1" applyAlignment="1">
      <alignment wrapText="1"/>
      <protection/>
    </xf>
    <xf numFmtId="0" fontId="84" fillId="24" borderId="0" xfId="54" applyFont="1" applyFill="1" applyAlignment="1">
      <alignment wrapText="1"/>
      <protection/>
    </xf>
    <xf numFmtId="0" fontId="55" fillId="24" borderId="0" xfId="54" applyFont="1" applyFill="1" applyBorder="1" applyAlignment="1">
      <alignment wrapText="1"/>
      <protection/>
    </xf>
    <xf numFmtId="49" fontId="70" fillId="24" borderId="10" xfId="0" applyNumberFormat="1" applyFont="1" applyFill="1" applyBorder="1" applyAlignment="1" applyProtection="1">
      <alignment horizontal="justify" vertical="top" wrapText="1"/>
      <protection/>
    </xf>
    <xf numFmtId="1" fontId="70" fillId="24" borderId="10" xfId="0" applyNumberFormat="1" applyFont="1" applyFill="1" applyBorder="1" applyAlignment="1">
      <alignment horizontal="center" vertical="center" wrapText="1"/>
    </xf>
    <xf numFmtId="0" fontId="22" fillId="24" borderId="0" xfId="54" applyFont="1" applyFill="1" applyBorder="1" applyAlignment="1">
      <alignment wrapText="1"/>
      <protection/>
    </xf>
    <xf numFmtId="49" fontId="70" fillId="24" borderId="10" xfId="0" applyNumberFormat="1" applyFont="1" applyFill="1" applyBorder="1" applyAlignment="1" applyProtection="1">
      <alignment horizontal="justify" vertical="top" wrapText="1"/>
      <protection hidden="1"/>
    </xf>
    <xf numFmtId="1" fontId="70" fillId="24" borderId="10" xfId="0" applyNumberFormat="1" applyFont="1" applyFill="1" applyBorder="1" applyAlignment="1" applyProtection="1">
      <alignment horizontal="center" vertical="center" wrapText="1"/>
      <protection hidden="1"/>
    </xf>
    <xf numFmtId="49" fontId="55" fillId="24" borderId="10" xfId="0" applyNumberFormat="1" applyFont="1" applyFill="1" applyBorder="1" applyAlignment="1" applyProtection="1">
      <alignment horizontal="justify" vertical="top" wrapText="1"/>
      <protection hidden="1"/>
    </xf>
    <xf numFmtId="0" fontId="33" fillId="24" borderId="0" xfId="54" applyFont="1" applyFill="1" applyBorder="1" applyAlignment="1">
      <alignment wrapText="1"/>
      <protection/>
    </xf>
    <xf numFmtId="49" fontId="72" fillId="24" borderId="10" xfId="0" applyNumberFormat="1" applyFont="1" applyFill="1" applyBorder="1" applyAlignment="1" applyProtection="1">
      <alignment horizontal="justify" vertical="top" wrapText="1"/>
      <protection hidden="1"/>
    </xf>
    <xf numFmtId="1" fontId="72" fillId="24" borderId="10" xfId="0" applyNumberFormat="1" applyFont="1" applyFill="1" applyBorder="1" applyAlignment="1" applyProtection="1">
      <alignment horizontal="center" vertical="center" wrapText="1"/>
      <protection hidden="1"/>
    </xf>
    <xf numFmtId="0" fontId="84" fillId="24" borderId="0" xfId="54" applyFont="1" applyFill="1" applyBorder="1" applyAlignment="1">
      <alignment wrapText="1"/>
      <protection/>
    </xf>
    <xf numFmtId="1" fontId="55" fillId="24" borderId="10" xfId="0" applyNumberFormat="1" applyFont="1" applyFill="1" applyBorder="1" applyAlignment="1" applyProtection="1">
      <alignment horizontal="center" vertical="center" wrapText="1"/>
      <protection hidden="1"/>
    </xf>
    <xf numFmtId="2" fontId="70" fillId="24" borderId="10" xfId="0" applyNumberFormat="1" applyFont="1" applyFill="1" applyBorder="1" applyAlignment="1">
      <alignment horizontal="justify" vertical="top" wrapText="1"/>
    </xf>
    <xf numFmtId="193" fontId="75" fillId="24" borderId="13" xfId="54" applyNumberFormat="1" applyFont="1" applyFill="1" applyBorder="1">
      <alignment/>
      <protection/>
    </xf>
    <xf numFmtId="193" fontId="37" fillId="24" borderId="10" xfId="54" applyNumberFormat="1" applyFont="1" applyFill="1" applyBorder="1" applyAlignment="1">
      <alignment horizontal="right" vertical="center"/>
      <protection/>
    </xf>
    <xf numFmtId="0" fontId="55" fillId="24" borderId="10" xfId="0" applyNumberFormat="1" applyFont="1" applyFill="1" applyBorder="1" applyAlignment="1" applyProtection="1">
      <alignment vertical="center" wrapText="1"/>
      <protection/>
    </xf>
    <xf numFmtId="1" fontId="55" fillId="24" borderId="10" xfId="55" applyNumberFormat="1" applyFont="1" applyFill="1" applyBorder="1" applyAlignment="1" applyProtection="1">
      <alignment horizontal="left" vertical="top" wrapText="1"/>
      <protection locked="0"/>
    </xf>
    <xf numFmtId="193" fontId="73" fillId="24" borderId="13" xfId="54" applyNumberFormat="1" applyFont="1" applyFill="1" applyBorder="1">
      <alignment/>
      <protection/>
    </xf>
    <xf numFmtId="193" fontId="37" fillId="24" borderId="10" xfId="54" applyNumberFormat="1" applyFont="1" applyFill="1" applyBorder="1" applyAlignment="1">
      <alignment horizontal="right" vertical="center"/>
      <protection/>
    </xf>
    <xf numFmtId="1" fontId="55" fillId="24" borderId="10" xfId="54" applyNumberFormat="1" applyFont="1" applyFill="1" applyBorder="1" applyAlignment="1">
      <alignment horizontal="justify" vertical="top" wrapText="1"/>
      <protection/>
    </xf>
    <xf numFmtId="208" fontId="22" fillId="24" borderId="10" xfId="54" applyNumberFormat="1" applyFont="1" applyFill="1" applyBorder="1" applyAlignment="1">
      <alignment vertical="center" wrapText="1"/>
      <protection/>
    </xf>
    <xf numFmtId="1" fontId="72" fillId="24" borderId="10" xfId="54" applyNumberFormat="1" applyFont="1" applyFill="1" applyBorder="1" applyAlignment="1" applyProtection="1">
      <alignment horizontal="justify" vertical="top" wrapText="1"/>
      <protection/>
    </xf>
    <xf numFmtId="49" fontId="55" fillId="24" borderId="10" xfId="0" applyNumberFormat="1" applyFont="1" applyFill="1" applyBorder="1" applyAlignment="1" applyProtection="1">
      <alignment horizontal="justify" vertical="top" wrapText="1"/>
      <protection/>
    </xf>
    <xf numFmtId="49" fontId="72" fillId="24" borderId="10" xfId="0" applyNumberFormat="1" applyFont="1" applyFill="1" applyBorder="1" applyAlignment="1" applyProtection="1">
      <alignment horizontal="justify" vertical="top" wrapText="1"/>
      <protection/>
    </xf>
    <xf numFmtId="1" fontId="72" fillId="24" borderId="10" xfId="0" applyNumberFormat="1" applyFont="1" applyFill="1" applyBorder="1" applyAlignment="1">
      <alignment horizontal="center" vertical="center" wrapText="1"/>
    </xf>
    <xf numFmtId="1" fontId="70" fillId="24" borderId="10" xfId="54" applyNumberFormat="1" applyFont="1" applyFill="1" applyBorder="1" applyAlignment="1" applyProtection="1">
      <alignment horizontal="left" vertical="top" wrapText="1"/>
      <protection locked="0"/>
    </xf>
    <xf numFmtId="0" fontId="55" fillId="24" borderId="10" xfId="0" applyFont="1" applyFill="1" applyBorder="1" applyAlignment="1" applyProtection="1">
      <alignment horizontal="justify" vertical="top" wrapText="1"/>
      <protection/>
    </xf>
    <xf numFmtId="0" fontId="72" fillId="24" borderId="10" xfId="0" applyFont="1" applyFill="1" applyBorder="1" applyAlignment="1">
      <alignment horizontal="justify" vertical="top" wrapText="1"/>
    </xf>
    <xf numFmtId="191" fontId="55" fillId="24" borderId="12" xfId="54" applyNumberFormat="1" applyFont="1" applyFill="1" applyBorder="1" applyAlignment="1">
      <alignment horizontal="center" vertical="center" wrapText="1"/>
      <protection/>
    </xf>
    <xf numFmtId="0" fontId="72" fillId="24" borderId="10" xfId="0" applyNumberFormat="1" applyFont="1" applyFill="1" applyBorder="1" applyAlignment="1">
      <alignment horizontal="left" vertical="top" wrapText="1"/>
    </xf>
    <xf numFmtId="0" fontId="72" fillId="24" borderId="10" xfId="0" applyNumberFormat="1" applyFont="1" applyFill="1" applyBorder="1" applyAlignment="1">
      <alignment horizontal="justify" vertical="top" wrapText="1"/>
    </xf>
    <xf numFmtId="1" fontId="70" fillId="24" borderId="18" xfId="55" applyNumberFormat="1" applyFont="1" applyFill="1" applyBorder="1" applyAlignment="1" applyProtection="1">
      <alignment horizontal="justify" vertical="top" wrapText="1"/>
      <protection locked="0"/>
    </xf>
    <xf numFmtId="1" fontId="70" fillId="24" borderId="0" xfId="55" applyNumberFormat="1" applyFont="1" applyFill="1" applyBorder="1" applyAlignment="1" applyProtection="1">
      <alignment horizontal="center" vertical="center" wrapText="1"/>
      <protection locked="0"/>
    </xf>
    <xf numFmtId="193" fontId="22" fillId="24" borderId="0" xfId="54" applyNumberFormat="1" applyFont="1" applyFill="1" applyBorder="1" applyAlignment="1">
      <alignment vertical="center"/>
      <protection/>
    </xf>
    <xf numFmtId="1" fontId="22" fillId="24" borderId="18" xfId="54" applyNumberFormat="1" applyFont="1" applyFill="1" applyBorder="1" applyAlignment="1" applyProtection="1">
      <alignment horizontal="justify" vertical="top" wrapText="1"/>
      <protection/>
    </xf>
    <xf numFmtId="1" fontId="75" fillId="24" borderId="0" xfId="54" applyNumberFormat="1" applyFont="1" applyFill="1" applyAlignment="1" applyProtection="1">
      <alignment vertical="center" wrapText="1"/>
      <protection/>
    </xf>
    <xf numFmtId="1" fontId="55" fillId="24" borderId="0" xfId="54" applyNumberFormat="1" applyFont="1" applyFill="1" applyAlignment="1" applyProtection="1">
      <alignment horizontal="center"/>
      <protection/>
    </xf>
    <xf numFmtId="0" fontId="33" fillId="25" borderId="0" xfId="54" applyFont="1" applyFill="1" applyAlignment="1">
      <alignment wrapText="1"/>
      <protection/>
    </xf>
    <xf numFmtId="1" fontId="70" fillId="25" borderId="10" xfId="54" applyNumberFormat="1" applyFont="1" applyFill="1" applyBorder="1" applyAlignment="1" applyProtection="1">
      <alignment horizontal="justify" vertical="top" wrapText="1"/>
      <protection locked="0"/>
    </xf>
    <xf numFmtId="2" fontId="70" fillId="25" borderId="10" xfId="0" applyNumberFormat="1" applyFont="1" applyFill="1" applyBorder="1" applyAlignment="1">
      <alignment horizontal="justify" vertical="top" wrapText="1"/>
    </xf>
    <xf numFmtId="0" fontId="72" fillId="25" borderId="10" xfId="0" applyNumberFormat="1" applyFont="1" applyFill="1" applyBorder="1" applyAlignment="1">
      <alignment horizontal="justify" vertical="top" wrapText="1"/>
    </xf>
    <xf numFmtId="191" fontId="55" fillId="25" borderId="12" xfId="54" applyNumberFormat="1" applyFont="1" applyFill="1" applyBorder="1" applyAlignment="1">
      <alignment horizontal="center" vertical="center" wrapText="1"/>
      <protection/>
    </xf>
    <xf numFmtId="193" fontId="36" fillId="25" borderId="10" xfId="54" applyNumberFormat="1" applyFont="1" applyFill="1" applyBorder="1" applyAlignment="1">
      <alignment horizontal="right" vertical="center"/>
      <protection/>
    </xf>
    <xf numFmtId="193" fontId="69" fillId="24" borderId="10" xfId="54" applyNumberFormat="1" applyFont="1" applyFill="1" applyBorder="1" applyAlignment="1">
      <alignment horizontal="right" vertical="center" wrapText="1"/>
      <protection/>
    </xf>
    <xf numFmtId="0" fontId="55" fillId="24" borderId="10" xfId="0" applyNumberFormat="1" applyFont="1" applyFill="1" applyBorder="1" applyAlignment="1">
      <alignment horizontal="justify" vertical="top" wrapText="1"/>
    </xf>
    <xf numFmtId="191" fontId="72" fillId="24" borderId="12" xfId="54" applyNumberFormat="1" applyFont="1" applyFill="1" applyBorder="1" applyAlignment="1">
      <alignment horizontal="center" vertical="center" wrapText="1"/>
      <protection/>
    </xf>
    <xf numFmtId="192" fontId="87" fillId="24" borderId="0" xfId="54" applyNumberFormat="1" applyFont="1" applyFill="1" applyBorder="1">
      <alignment/>
      <protection/>
    </xf>
    <xf numFmtId="193" fontId="88" fillId="24" borderId="0" xfId="54" applyNumberFormat="1" applyFont="1" applyFill="1">
      <alignment/>
      <protection/>
    </xf>
    <xf numFmtId="193" fontId="89" fillId="24" borderId="13" xfId="54" applyNumberFormat="1" applyFont="1" applyFill="1" applyBorder="1">
      <alignment/>
      <protection/>
    </xf>
    <xf numFmtId="192" fontId="73" fillId="25" borderId="0" xfId="54" applyNumberFormat="1" applyFont="1" applyFill="1">
      <alignment/>
      <protection/>
    </xf>
    <xf numFmtId="192" fontId="73" fillId="25" borderId="13" xfId="54" applyNumberFormat="1" applyFont="1" applyFill="1" applyBorder="1">
      <alignment/>
      <protection/>
    </xf>
    <xf numFmtId="0" fontId="70" fillId="24" borderId="10" xfId="0" applyNumberFormat="1" applyFont="1" applyFill="1" applyBorder="1" applyAlignment="1">
      <alignment horizontal="justify" vertical="top" wrapText="1"/>
    </xf>
    <xf numFmtId="193" fontId="35" fillId="24" borderId="10" xfId="54" applyNumberFormat="1" applyFont="1" applyFill="1" applyBorder="1" applyAlignment="1">
      <alignment vertical="center" wrapText="1"/>
      <protection/>
    </xf>
    <xf numFmtId="0" fontId="22" fillId="0" borderId="10" xfId="54" applyFont="1" applyFill="1" applyBorder="1" applyAlignment="1">
      <alignment horizontal="center" vertical="center"/>
      <protection/>
    </xf>
    <xf numFmtId="1" fontId="22" fillId="0" borderId="10" xfId="54" applyNumberFormat="1" applyFont="1" applyFill="1" applyBorder="1" applyAlignment="1">
      <alignment horizontal="center" vertical="center" wrapText="1"/>
      <protection/>
    </xf>
    <xf numFmtId="194" fontId="22" fillId="0" borderId="10" xfId="65" applyNumberFormat="1" applyFont="1" applyFill="1" applyBorder="1" applyAlignment="1">
      <alignment horizontal="center" vertical="center" wrapText="1"/>
    </xf>
    <xf numFmtId="217" fontId="22" fillId="0" borderId="10" xfId="65" applyNumberFormat="1" applyFont="1" applyFill="1" applyBorder="1" applyAlignment="1">
      <alignment horizontal="center" vertical="center" wrapText="1"/>
    </xf>
    <xf numFmtId="215" fontId="70" fillId="0" borderId="0" xfId="54" applyNumberFormat="1" applyFont="1" applyFill="1" applyAlignment="1">
      <alignment vertical="center"/>
      <protection/>
    </xf>
    <xf numFmtId="0" fontId="70" fillId="0" borderId="0" xfId="54" applyFont="1" applyFill="1" applyAlignment="1">
      <alignment vertical="center"/>
      <protection/>
    </xf>
    <xf numFmtId="0" fontId="33" fillId="0" borderId="0" xfId="54" applyFont="1" applyFill="1" applyAlignment="1">
      <alignment horizontal="center"/>
      <protection/>
    </xf>
    <xf numFmtId="1" fontId="22" fillId="0" borderId="0" xfId="54" applyNumberFormat="1" applyFont="1" applyFill="1" applyBorder="1" applyAlignment="1" applyProtection="1">
      <alignment horizontal="justify" vertical="top" wrapText="1"/>
      <protection/>
    </xf>
    <xf numFmtId="1" fontId="75" fillId="0" borderId="0" xfId="54" applyNumberFormat="1" applyFont="1" applyFill="1" applyBorder="1" applyAlignment="1" applyProtection="1">
      <alignment vertical="center" wrapText="1"/>
      <protection/>
    </xf>
    <xf numFmtId="1" fontId="55" fillId="0" borderId="0" xfId="54" applyNumberFormat="1" applyFont="1" applyFill="1" applyBorder="1" applyAlignment="1" applyProtection="1">
      <alignment horizontal="center"/>
      <protection/>
    </xf>
    <xf numFmtId="0" fontId="73" fillId="0" borderId="0" xfId="54" applyFont="1" applyFill="1" applyBorder="1">
      <alignment/>
      <protection/>
    </xf>
    <xf numFmtId="0" fontId="73" fillId="0" borderId="0" xfId="54" applyFont="1" applyFill="1" applyAlignment="1">
      <alignment horizontal="center"/>
      <protection/>
    </xf>
    <xf numFmtId="0" fontId="86" fillId="0" borderId="0" xfId="0" applyFont="1" applyFill="1" applyAlignment="1">
      <alignment horizontal="center"/>
    </xf>
    <xf numFmtId="217" fontId="55" fillId="0" borderId="0" xfId="54" applyNumberFormat="1" applyFont="1" applyFill="1" applyBorder="1" applyAlignment="1" applyProtection="1">
      <alignment horizontal="center"/>
      <protection/>
    </xf>
    <xf numFmtId="0" fontId="73" fillId="0" borderId="0" xfId="54" applyFont="1" applyFill="1">
      <alignment/>
      <protection/>
    </xf>
    <xf numFmtId="192" fontId="73" fillId="0" borderId="0" xfId="54" applyNumberFormat="1" applyFont="1" applyFill="1">
      <alignment/>
      <protection/>
    </xf>
    <xf numFmtId="192" fontId="33" fillId="0" borderId="0" xfId="54" applyNumberFormat="1" applyFont="1" applyFill="1" applyAlignment="1">
      <alignment horizontal="center"/>
      <protection/>
    </xf>
    <xf numFmtId="192" fontId="22" fillId="0" borderId="0" xfId="54" applyNumberFormat="1" applyFont="1" applyFill="1" applyBorder="1" applyAlignment="1" applyProtection="1">
      <alignment horizontal="justify" vertical="top" wrapText="1"/>
      <protection/>
    </xf>
    <xf numFmtId="192" fontId="75" fillId="0" borderId="0" xfId="54" applyNumberFormat="1" applyFont="1" applyFill="1" applyBorder="1" applyAlignment="1" applyProtection="1">
      <alignment vertical="center" wrapText="1"/>
      <protection/>
    </xf>
    <xf numFmtId="192" fontId="81" fillId="0" borderId="0" xfId="54" applyNumberFormat="1" applyFont="1" applyFill="1" applyBorder="1" applyAlignment="1">
      <alignment vertical="center"/>
      <protection/>
    </xf>
    <xf numFmtId="192" fontId="73" fillId="0" borderId="0" xfId="54" applyNumberFormat="1" applyFont="1" applyFill="1" applyBorder="1" applyAlignment="1">
      <alignment horizontal="center" vertical="center"/>
      <protection/>
    </xf>
    <xf numFmtId="192" fontId="33" fillId="0" borderId="0" xfId="54" applyNumberFormat="1" applyFont="1" applyFill="1" applyBorder="1" applyAlignment="1">
      <alignment horizontal="center" vertical="center"/>
      <protection/>
    </xf>
    <xf numFmtId="192" fontId="65" fillId="0" borderId="0" xfId="54" applyNumberFormat="1" applyFont="1" applyFill="1" applyBorder="1" applyAlignment="1">
      <alignment horizontal="center"/>
      <protection/>
    </xf>
    <xf numFmtId="217" fontId="33" fillId="0" borderId="0" xfId="54" applyNumberFormat="1" applyFont="1" applyFill="1" applyBorder="1" applyAlignment="1">
      <alignment horizontal="center" vertical="center"/>
      <protection/>
    </xf>
    <xf numFmtId="217" fontId="81" fillId="0" borderId="0" xfId="54" applyNumberFormat="1" applyFont="1" applyFill="1" applyBorder="1" applyAlignment="1">
      <alignment horizontal="center" vertical="center"/>
      <protection/>
    </xf>
    <xf numFmtId="0" fontId="33" fillId="0" borderId="0" xfId="54" applyFont="1" applyFill="1">
      <alignment/>
      <protection/>
    </xf>
    <xf numFmtId="217" fontId="22" fillId="0" borderId="10" xfId="54" applyNumberFormat="1" applyFont="1" applyFill="1" applyBorder="1" applyAlignment="1">
      <alignment horizontal="center" vertical="center" wrapText="1"/>
      <protection/>
    </xf>
    <xf numFmtId="0" fontId="22" fillId="0" borderId="0" xfId="54" applyFont="1" applyFill="1">
      <alignment/>
      <protection/>
    </xf>
    <xf numFmtId="0" fontId="33" fillId="0" borderId="10" xfId="54" applyFont="1" applyFill="1" applyBorder="1" applyAlignment="1">
      <alignment horizontal="center"/>
      <protection/>
    </xf>
    <xf numFmtId="1" fontId="33" fillId="0" borderId="10" xfId="54" applyNumberFormat="1" applyFont="1" applyFill="1" applyBorder="1" applyAlignment="1">
      <alignment horizontal="center" vertical="top" wrapText="1"/>
      <protection/>
    </xf>
    <xf numFmtId="1" fontId="55" fillId="0" borderId="10" xfId="54" applyNumberFormat="1" applyFont="1" applyFill="1" applyBorder="1" applyAlignment="1">
      <alignment horizontal="center" vertical="center" wrapText="1"/>
      <protection/>
    </xf>
    <xf numFmtId="0" fontId="55" fillId="0" borderId="10" xfId="54" applyFont="1" applyFill="1" applyBorder="1" applyAlignment="1">
      <alignment horizontal="center" vertical="center" wrapText="1"/>
      <protection/>
    </xf>
    <xf numFmtId="218" fontId="55" fillId="0" borderId="10" xfId="54" applyNumberFormat="1" applyFont="1" applyFill="1" applyBorder="1" applyAlignment="1">
      <alignment horizontal="center" vertical="center" wrapText="1"/>
      <protection/>
    </xf>
    <xf numFmtId="215" fontId="55" fillId="0" borderId="0" xfId="54" applyNumberFormat="1" applyFont="1" applyFill="1">
      <alignment/>
      <protection/>
    </xf>
    <xf numFmtId="0" fontId="55" fillId="0" borderId="0" xfId="54" applyFont="1" applyFill="1">
      <alignment/>
      <protection/>
    </xf>
    <xf numFmtId="1" fontId="33" fillId="0" borderId="10" xfId="54" applyNumberFormat="1" applyFont="1" applyFill="1" applyBorder="1" applyAlignment="1">
      <alignment horizontal="center" vertical="center" wrapText="1"/>
      <protection/>
    </xf>
    <xf numFmtId="194" fontId="33" fillId="0" borderId="10" xfId="65" applyNumberFormat="1" applyFont="1" applyFill="1" applyBorder="1" applyAlignment="1">
      <alignment horizontal="center" vertical="center" wrapText="1"/>
    </xf>
    <xf numFmtId="217" fontId="33" fillId="0" borderId="10" xfId="65" applyNumberFormat="1" applyFont="1" applyFill="1" applyBorder="1" applyAlignment="1">
      <alignment horizontal="center" vertical="center" wrapText="1"/>
    </xf>
    <xf numFmtId="193" fontId="55" fillId="0" borderId="0" xfId="54" applyNumberFormat="1" applyFont="1" applyFill="1">
      <alignment/>
      <protection/>
    </xf>
    <xf numFmtId="217" fontId="33" fillId="0" borderId="10" xfId="54" applyNumberFormat="1" applyFont="1" applyFill="1" applyBorder="1" applyAlignment="1">
      <alignment horizontal="center" vertical="center"/>
      <protection/>
    </xf>
    <xf numFmtId="194" fontId="55" fillId="0" borderId="0" xfId="54" applyNumberFormat="1" applyFont="1" applyFill="1">
      <alignment/>
      <protection/>
    </xf>
    <xf numFmtId="0" fontId="22" fillId="0" borderId="10" xfId="54" applyFont="1" applyFill="1" applyBorder="1" applyAlignment="1">
      <alignment horizontal="center" vertical="center" wrapText="1"/>
      <protection/>
    </xf>
    <xf numFmtId="1" fontId="22" fillId="0" borderId="10" xfId="55" applyNumberFormat="1" applyFont="1" applyFill="1" applyBorder="1" applyAlignment="1" applyProtection="1">
      <alignment horizontal="justify" vertical="center" wrapText="1"/>
      <protection locked="0"/>
    </xf>
    <xf numFmtId="191" fontId="22" fillId="0" borderId="10" xfId="54" applyNumberFormat="1" applyFont="1" applyFill="1" applyBorder="1" applyAlignment="1">
      <alignment horizontal="center" vertical="center" wrapText="1"/>
      <protection/>
    </xf>
    <xf numFmtId="193" fontId="22" fillId="0" borderId="10" xfId="54" applyNumberFormat="1" applyFont="1" applyFill="1" applyBorder="1" applyAlignment="1">
      <alignment horizontal="right" vertical="center" wrapText="1"/>
      <protection/>
    </xf>
    <xf numFmtId="193" fontId="22" fillId="0" borderId="10" xfId="54" applyNumberFormat="1" applyFont="1" applyFill="1" applyBorder="1" applyAlignment="1">
      <alignment horizontal="center" vertical="center" wrapText="1"/>
      <protection/>
    </xf>
    <xf numFmtId="193" fontId="22" fillId="0" borderId="10" xfId="54" applyNumberFormat="1" applyFont="1" applyFill="1" applyBorder="1" applyAlignment="1">
      <alignment horizontal="center" vertical="center"/>
      <protection/>
    </xf>
    <xf numFmtId="217" fontId="22" fillId="0" borderId="10" xfId="54" applyNumberFormat="1" applyFont="1" applyFill="1" applyBorder="1" applyAlignment="1">
      <alignment horizontal="center" vertical="center"/>
      <protection/>
    </xf>
    <xf numFmtId="215" fontId="70" fillId="0" borderId="0" xfId="54" applyNumberFormat="1" applyFont="1" applyFill="1" applyAlignment="1">
      <alignment vertical="center" wrapText="1"/>
      <protection/>
    </xf>
    <xf numFmtId="0" fontId="70" fillId="0" borderId="0" xfId="54" applyFont="1" applyFill="1" applyAlignment="1">
      <alignment vertical="center" wrapText="1"/>
      <protection/>
    </xf>
    <xf numFmtId="191" fontId="33" fillId="0" borderId="10" xfId="54" applyNumberFormat="1" applyFont="1" applyFill="1" applyBorder="1" applyAlignment="1">
      <alignment horizontal="center" vertical="center" wrapText="1"/>
      <protection/>
    </xf>
    <xf numFmtId="193" fontId="33" fillId="0" borderId="10" xfId="54" applyNumberFormat="1" applyFont="1" applyFill="1" applyBorder="1" applyAlignment="1">
      <alignment horizontal="center" vertical="center" wrapText="1"/>
      <protection/>
    </xf>
    <xf numFmtId="4" fontId="33" fillId="0" borderId="10" xfId="54" applyNumberFormat="1" applyFont="1" applyFill="1" applyBorder="1" applyAlignment="1">
      <alignment horizontal="center" vertical="center" wrapText="1"/>
      <protection/>
    </xf>
    <xf numFmtId="0" fontId="22" fillId="0" borderId="0" xfId="54" applyFont="1" applyFill="1" applyAlignment="1">
      <alignment vertical="center"/>
      <protection/>
    </xf>
    <xf numFmtId="0" fontId="22" fillId="0" borderId="0" xfId="54" applyFont="1" applyFill="1" applyAlignment="1">
      <alignment wrapText="1"/>
      <protection/>
    </xf>
    <xf numFmtId="0" fontId="33" fillId="0" borderId="10" xfId="54" applyFont="1" applyFill="1" applyBorder="1" applyAlignment="1">
      <alignment horizontal="center" wrapText="1"/>
      <protection/>
    </xf>
    <xf numFmtId="0" fontId="33" fillId="0" borderId="0" xfId="54" applyFont="1" applyFill="1" applyAlignment="1">
      <alignment wrapText="1"/>
      <protection/>
    </xf>
    <xf numFmtId="49" fontId="22" fillId="0" borderId="11" xfId="54" applyNumberFormat="1" applyFont="1" applyFill="1" applyBorder="1" applyAlignment="1">
      <alignment horizontal="center" vertical="center"/>
      <protection/>
    </xf>
    <xf numFmtId="193" fontId="22" fillId="0" borderId="10" xfId="54" applyNumberFormat="1" applyFont="1" applyFill="1" applyBorder="1" applyAlignment="1">
      <alignment vertical="center" wrapText="1"/>
      <protection/>
    </xf>
    <xf numFmtId="49" fontId="33" fillId="0" borderId="11" xfId="54" applyNumberFormat="1" applyFont="1" applyFill="1" applyBorder="1" applyAlignment="1">
      <alignment horizontal="center" vertical="center"/>
      <protection/>
    </xf>
    <xf numFmtId="1" fontId="33" fillId="0" borderId="10" xfId="54" applyNumberFormat="1" applyFont="1" applyFill="1" applyBorder="1" applyAlignment="1">
      <alignment horizontal="left" vertical="top" wrapText="1"/>
      <protection/>
    </xf>
    <xf numFmtId="193" fontId="33" fillId="0" borderId="10" xfId="54" applyNumberFormat="1" applyFont="1" applyFill="1" applyBorder="1" applyAlignment="1">
      <alignment vertical="center" wrapText="1"/>
      <protection/>
    </xf>
    <xf numFmtId="193" fontId="33" fillId="0" borderId="10" xfId="54" applyNumberFormat="1" applyFont="1" applyFill="1" applyBorder="1" applyAlignment="1">
      <alignment horizontal="center" vertical="center"/>
      <protection/>
    </xf>
    <xf numFmtId="1" fontId="22" fillId="0" borderId="12" xfId="55" applyNumberFormat="1" applyFont="1" applyFill="1" applyBorder="1" applyAlignment="1" applyProtection="1">
      <alignment horizontal="justify" vertical="center" wrapText="1"/>
      <protection locked="0"/>
    </xf>
    <xf numFmtId="0" fontId="22" fillId="0" borderId="0" xfId="54" applyFont="1" applyFill="1" applyAlignment="1">
      <alignment vertical="center" wrapText="1"/>
      <protection/>
    </xf>
    <xf numFmtId="191" fontId="55" fillId="0" borderId="10" xfId="54" applyNumberFormat="1" applyFont="1" applyFill="1" applyBorder="1" applyAlignment="1">
      <alignment horizontal="center" vertical="center" wrapText="1"/>
      <protection/>
    </xf>
    <xf numFmtId="1" fontId="33" fillId="0" borderId="12" xfId="55" applyNumberFormat="1" applyFont="1" applyFill="1" applyBorder="1" applyAlignment="1" applyProtection="1">
      <alignment horizontal="justify" vertical="center" wrapText="1"/>
      <protection locked="0"/>
    </xf>
    <xf numFmtId="0" fontId="33" fillId="0" borderId="0" xfId="54" applyFont="1" applyFill="1" applyAlignment="1">
      <alignment horizontal="center" vertical="center" wrapText="1"/>
      <protection/>
    </xf>
    <xf numFmtId="49" fontId="22" fillId="0" borderId="11" xfId="54" applyNumberFormat="1" applyFont="1" applyFill="1" applyBorder="1" applyAlignment="1">
      <alignment horizontal="center" vertical="center" wrapText="1"/>
      <protection/>
    </xf>
    <xf numFmtId="0" fontId="22" fillId="0" borderId="10" xfId="54" applyFont="1" applyFill="1" applyBorder="1" applyAlignment="1">
      <alignment vertical="top" wrapText="1"/>
      <protection/>
    </xf>
    <xf numFmtId="1" fontId="33" fillId="0" borderId="10" xfId="54" applyNumberFormat="1" applyFont="1" applyFill="1" applyBorder="1" applyAlignment="1" applyProtection="1">
      <alignment horizontal="justify" vertical="top" wrapText="1"/>
      <protection/>
    </xf>
    <xf numFmtId="0" fontId="55" fillId="0" borderId="0" xfId="54" applyFont="1" applyFill="1" applyAlignment="1">
      <alignment wrapText="1"/>
      <protection/>
    </xf>
    <xf numFmtId="191" fontId="22" fillId="0" borderId="10" xfId="54" applyNumberFormat="1" applyFont="1" applyFill="1" applyBorder="1" applyAlignment="1">
      <alignment horizontal="left" vertical="center" wrapText="1"/>
      <protection/>
    </xf>
    <xf numFmtId="0" fontId="33" fillId="0" borderId="10" xfId="54" applyNumberFormat="1" applyFont="1" applyFill="1" applyBorder="1" applyAlignment="1">
      <alignment horizontal="center" vertical="center" wrapText="1"/>
      <protection/>
    </xf>
    <xf numFmtId="49" fontId="84" fillId="0" borderId="10" xfId="54" applyNumberFormat="1" applyFont="1" applyFill="1" applyBorder="1" applyAlignment="1">
      <alignment horizontal="center" vertical="center" wrapText="1"/>
      <protection/>
    </xf>
    <xf numFmtId="1" fontId="84" fillId="0" borderId="12" xfId="55" applyNumberFormat="1" applyFont="1" applyFill="1" applyBorder="1" applyAlignment="1" applyProtection="1">
      <alignment horizontal="justify" vertical="center" wrapText="1"/>
      <protection locked="0"/>
    </xf>
    <xf numFmtId="191" fontId="84" fillId="0" borderId="10" xfId="54" applyNumberFormat="1" applyFont="1" applyFill="1" applyBorder="1" applyAlignment="1">
      <alignment horizontal="center" vertical="center" wrapText="1"/>
      <protection/>
    </xf>
    <xf numFmtId="193" fontId="84" fillId="0" borderId="10" xfId="54" applyNumberFormat="1" applyFont="1" applyFill="1" applyBorder="1" applyAlignment="1">
      <alignment horizontal="right" vertical="center" wrapText="1"/>
      <protection/>
    </xf>
    <xf numFmtId="4" fontId="84" fillId="0" borderId="10" xfId="54" applyNumberFormat="1" applyFont="1" applyFill="1" applyBorder="1" applyAlignment="1">
      <alignment horizontal="center" vertical="center" wrapText="1"/>
      <protection/>
    </xf>
    <xf numFmtId="193" fontId="84" fillId="0" borderId="10" xfId="54" applyNumberFormat="1" applyFont="1" applyFill="1" applyBorder="1" applyAlignment="1">
      <alignment horizontal="center" vertical="center" wrapText="1"/>
      <protection/>
    </xf>
    <xf numFmtId="217" fontId="84" fillId="0" borderId="10" xfId="54" applyNumberFormat="1" applyFont="1" applyFill="1" applyBorder="1" applyAlignment="1">
      <alignment horizontal="center" vertical="center"/>
      <protection/>
    </xf>
    <xf numFmtId="0" fontId="84" fillId="0" borderId="0" xfId="54" applyFont="1" applyFill="1" applyAlignment="1">
      <alignment vertical="center" wrapText="1"/>
      <protection/>
    </xf>
    <xf numFmtId="49" fontId="84" fillId="0" borderId="16" xfId="54" applyNumberFormat="1" applyFont="1" applyFill="1" applyBorder="1" applyAlignment="1">
      <alignment horizontal="center" vertical="center" wrapText="1"/>
      <protection/>
    </xf>
    <xf numFmtId="191" fontId="34" fillId="0" borderId="10" xfId="54" applyNumberFormat="1" applyFont="1" applyFill="1" applyBorder="1" applyAlignment="1">
      <alignment horizontal="center" vertical="center" wrapText="1"/>
      <protection/>
    </xf>
    <xf numFmtId="193" fontId="34" fillId="0" borderId="10" xfId="54" applyNumberFormat="1" applyFont="1" applyFill="1" applyBorder="1" applyAlignment="1">
      <alignment horizontal="center" vertical="center" wrapText="1"/>
      <protection/>
    </xf>
    <xf numFmtId="0" fontId="72" fillId="0" borderId="0" xfId="54" applyFont="1" applyFill="1" applyAlignment="1">
      <alignment wrapText="1"/>
      <protection/>
    </xf>
    <xf numFmtId="49" fontId="84" fillId="0" borderId="11" xfId="54" applyNumberFormat="1" applyFont="1" applyFill="1" applyBorder="1" applyAlignment="1">
      <alignment horizontal="center" vertical="center" wrapText="1"/>
      <protection/>
    </xf>
    <xf numFmtId="209" fontId="84" fillId="0" borderId="10" xfId="54" applyNumberFormat="1" applyFont="1" applyFill="1" applyBorder="1" applyAlignment="1">
      <alignment horizontal="center" vertical="center" wrapText="1"/>
      <protection/>
    </xf>
    <xf numFmtId="0" fontId="83" fillId="0" borderId="0" xfId="54" applyFont="1" applyFill="1" applyAlignment="1">
      <alignment wrapText="1"/>
      <protection/>
    </xf>
    <xf numFmtId="193" fontId="84" fillId="0" borderId="10" xfId="54" applyNumberFormat="1" applyFont="1" applyFill="1" applyBorder="1" applyAlignment="1">
      <alignment horizontal="center" vertical="center"/>
      <protection/>
    </xf>
    <xf numFmtId="1" fontId="84" fillId="0" borderId="12" xfId="55" applyNumberFormat="1" applyFont="1" applyFill="1" applyBorder="1" applyAlignment="1" applyProtection="1">
      <alignment horizontal="justify" vertical="top" wrapText="1"/>
      <protection locked="0"/>
    </xf>
    <xf numFmtId="1" fontId="34" fillId="0" borderId="12" xfId="55" applyNumberFormat="1" applyFont="1" applyFill="1" applyBorder="1" applyAlignment="1" applyProtection="1">
      <alignment horizontal="justify" vertical="top" wrapText="1"/>
      <protection locked="0"/>
    </xf>
    <xf numFmtId="217" fontId="34" fillId="0" borderId="10" xfId="54" applyNumberFormat="1" applyFont="1" applyFill="1" applyBorder="1" applyAlignment="1">
      <alignment horizontal="center" vertical="center" wrapText="1"/>
      <protection/>
    </xf>
    <xf numFmtId="49" fontId="84" fillId="0" borderId="10" xfId="54" applyNumberFormat="1" applyFont="1" applyFill="1" applyBorder="1" applyAlignment="1">
      <alignment horizontal="center" wrapText="1"/>
      <protection/>
    </xf>
    <xf numFmtId="0" fontId="84" fillId="0" borderId="0" xfId="54" applyFont="1" applyFill="1" applyAlignment="1">
      <alignment wrapText="1"/>
      <protection/>
    </xf>
    <xf numFmtId="4" fontId="34" fillId="0" borderId="10" xfId="54" applyNumberFormat="1" applyFont="1" applyFill="1" applyBorder="1" applyAlignment="1">
      <alignment horizontal="center" vertical="center" wrapText="1"/>
      <protection/>
    </xf>
    <xf numFmtId="193" fontId="34" fillId="0" borderId="10" xfId="54" applyNumberFormat="1" applyFont="1" applyFill="1" applyBorder="1" applyAlignment="1">
      <alignment horizontal="center" vertical="center"/>
      <protection/>
    </xf>
    <xf numFmtId="217" fontId="34" fillId="0" borderId="10" xfId="54" applyNumberFormat="1" applyFont="1" applyFill="1" applyBorder="1" applyAlignment="1">
      <alignment horizontal="center" vertical="center"/>
      <protection/>
    </xf>
    <xf numFmtId="49" fontId="84" fillId="0" borderId="10" xfId="54" applyNumberFormat="1" applyFont="1" applyFill="1" applyBorder="1" applyAlignment="1">
      <alignment horizontal="center" vertical="top" wrapText="1"/>
      <protection/>
    </xf>
    <xf numFmtId="217" fontId="35" fillId="0" borderId="10" xfId="54" applyNumberFormat="1" applyFont="1" applyFill="1" applyBorder="1" applyAlignment="1">
      <alignment horizontal="center" vertical="center"/>
      <protection/>
    </xf>
    <xf numFmtId="0" fontId="70" fillId="0" borderId="0" xfId="54" applyFont="1" applyFill="1" applyBorder="1" applyAlignment="1">
      <alignment vertical="center" wrapText="1"/>
      <protection/>
    </xf>
    <xf numFmtId="0" fontId="72" fillId="0" borderId="0" xfId="54" applyFont="1" applyFill="1" applyBorder="1" applyAlignment="1">
      <alignment wrapText="1"/>
      <protection/>
    </xf>
    <xf numFmtId="193" fontId="84" fillId="0" borderId="10" xfId="54" applyNumberFormat="1" applyFont="1" applyFill="1" applyBorder="1" applyAlignment="1">
      <alignment vertical="center" wrapText="1"/>
      <protection/>
    </xf>
    <xf numFmtId="0" fontId="34" fillId="0" borderId="10" xfId="54" applyFont="1" applyFill="1" applyBorder="1" applyAlignment="1">
      <alignment horizontal="center" wrapText="1"/>
      <protection/>
    </xf>
    <xf numFmtId="193" fontId="34" fillId="0" borderId="10" xfId="54" applyNumberFormat="1" applyFont="1" applyFill="1" applyBorder="1" applyAlignment="1">
      <alignment vertical="center" wrapText="1"/>
      <protection/>
    </xf>
    <xf numFmtId="0" fontId="34" fillId="0" borderId="0" xfId="54" applyFont="1" applyFill="1" applyAlignment="1">
      <alignment wrapText="1"/>
      <protection/>
    </xf>
    <xf numFmtId="1" fontId="34" fillId="0" borderId="12" xfId="54" applyNumberFormat="1" applyFont="1" applyFill="1" applyBorder="1" applyAlignment="1" applyProtection="1">
      <alignment horizontal="justify" vertical="top" wrapText="1"/>
      <protection/>
    </xf>
    <xf numFmtId="49" fontId="84" fillId="0" borderId="13" xfId="54" applyNumberFormat="1" applyFont="1" applyFill="1" applyBorder="1" applyAlignment="1">
      <alignment horizontal="center" vertical="center" wrapText="1"/>
      <protection/>
    </xf>
    <xf numFmtId="49" fontId="84" fillId="0" borderId="10" xfId="0" applyNumberFormat="1" applyFont="1" applyFill="1" applyBorder="1" applyAlignment="1" applyProtection="1">
      <alignment horizontal="justify" vertical="center" wrapText="1"/>
      <protection/>
    </xf>
    <xf numFmtId="1" fontId="84" fillId="0" borderId="10" xfId="0" applyNumberFormat="1" applyFont="1" applyFill="1" applyBorder="1" applyAlignment="1">
      <alignment horizontal="center" vertical="center" wrapText="1"/>
    </xf>
    <xf numFmtId="0" fontId="34" fillId="0" borderId="12" xfId="0" applyFont="1" applyFill="1" applyBorder="1" applyAlignment="1" applyProtection="1">
      <alignment horizontal="justify" vertical="top" wrapText="1"/>
      <protection/>
    </xf>
    <xf numFmtId="1" fontId="84" fillId="0" borderId="10" xfId="54" applyNumberFormat="1" applyFont="1" applyFill="1" applyBorder="1" applyAlignment="1" applyProtection="1">
      <alignment horizontal="left" vertical="center" wrapText="1"/>
      <protection locked="0"/>
    </xf>
    <xf numFmtId="1" fontId="84" fillId="0" borderId="10" xfId="55" applyNumberFormat="1" applyFont="1" applyFill="1" applyBorder="1" applyAlignment="1" applyProtection="1">
      <alignment horizontal="justify" vertical="center" wrapText="1"/>
      <protection locked="0"/>
    </xf>
    <xf numFmtId="49" fontId="22" fillId="0" borderId="0" xfId="54" applyNumberFormat="1" applyFont="1" applyFill="1" applyBorder="1" applyAlignment="1">
      <alignment horizontal="center" vertical="center" wrapText="1"/>
      <protection/>
    </xf>
    <xf numFmtId="1" fontId="22" fillId="0" borderId="0" xfId="55" applyNumberFormat="1" applyFont="1" applyFill="1" applyBorder="1" applyAlignment="1" applyProtection="1">
      <alignment horizontal="justify" vertical="center" wrapText="1"/>
      <protection locked="0"/>
    </xf>
    <xf numFmtId="191" fontId="22" fillId="0" borderId="0" xfId="54" applyNumberFormat="1" applyFont="1" applyFill="1" applyBorder="1" applyAlignment="1">
      <alignment horizontal="center" vertical="center" wrapText="1"/>
      <protection/>
    </xf>
    <xf numFmtId="193" fontId="22" fillId="0" borderId="0" xfId="54" applyNumberFormat="1" applyFont="1" applyFill="1" applyBorder="1" applyAlignment="1">
      <alignment vertical="center" wrapText="1"/>
      <protection/>
    </xf>
    <xf numFmtId="4" fontId="22" fillId="0" borderId="0" xfId="54" applyNumberFormat="1" applyFont="1" applyFill="1" applyBorder="1" applyAlignment="1">
      <alignment horizontal="center" vertical="center" wrapText="1"/>
      <protection/>
    </xf>
    <xf numFmtId="193" fontId="22" fillId="0" borderId="0" xfId="54" applyNumberFormat="1" applyFont="1" applyFill="1" applyBorder="1" applyAlignment="1">
      <alignment horizontal="center" vertical="center"/>
      <protection/>
    </xf>
    <xf numFmtId="217" fontId="22" fillId="0" borderId="0" xfId="54" applyNumberFormat="1" applyFont="1" applyFill="1" applyBorder="1" applyAlignment="1">
      <alignment horizontal="right" vertical="center"/>
      <protection/>
    </xf>
    <xf numFmtId="217" fontId="22" fillId="0" borderId="0" xfId="54" applyNumberFormat="1" applyFont="1" applyFill="1" applyBorder="1" applyAlignment="1">
      <alignment horizontal="center" vertical="center"/>
      <protection/>
    </xf>
    <xf numFmtId="0" fontId="22" fillId="0" borderId="0" xfId="54" applyFont="1" applyFill="1" applyBorder="1" applyAlignment="1">
      <alignment vertical="center" wrapText="1"/>
      <protection/>
    </xf>
    <xf numFmtId="191" fontId="65" fillId="0" borderId="0" xfId="54" applyNumberFormat="1" applyFont="1" applyFill="1" applyBorder="1" applyAlignment="1">
      <alignment horizontal="center" vertical="center" wrapText="1"/>
      <protection/>
    </xf>
    <xf numFmtId="193" fontId="65" fillId="0" borderId="0" xfId="54" applyNumberFormat="1" applyFont="1" applyFill="1" applyBorder="1" applyAlignment="1">
      <alignment vertical="center" wrapText="1"/>
      <protection/>
    </xf>
    <xf numFmtId="4" fontId="65" fillId="0" borderId="0" xfId="54" applyNumberFormat="1" applyFont="1" applyFill="1" applyBorder="1" applyAlignment="1">
      <alignment horizontal="center" vertical="center" wrapText="1"/>
      <protection/>
    </xf>
    <xf numFmtId="193" fontId="65" fillId="0" borderId="0" xfId="54" applyNumberFormat="1" applyFont="1" applyFill="1" applyBorder="1" applyAlignment="1">
      <alignment horizontal="center" vertical="center"/>
      <protection/>
    </xf>
    <xf numFmtId="217" fontId="65" fillId="0" borderId="0" xfId="54" applyNumberFormat="1" applyFont="1" applyFill="1" applyBorder="1" applyAlignment="1">
      <alignment horizontal="right" vertical="center"/>
      <protection/>
    </xf>
    <xf numFmtId="217" fontId="65" fillId="0" borderId="0" xfId="54" applyNumberFormat="1" applyFont="1" applyFill="1" applyBorder="1" applyAlignment="1">
      <alignment horizontal="center" vertical="center"/>
      <protection/>
    </xf>
    <xf numFmtId="0" fontId="65" fillId="0" borderId="0" xfId="54" applyFont="1" applyFill="1" applyAlignment="1">
      <alignment vertical="center" wrapText="1"/>
      <protection/>
    </xf>
    <xf numFmtId="1" fontId="22" fillId="0" borderId="18" xfId="54" applyNumberFormat="1" applyFont="1" applyFill="1" applyBorder="1" applyAlignment="1" applyProtection="1">
      <alignment horizontal="justify" vertical="top" wrapText="1"/>
      <protection/>
    </xf>
    <xf numFmtId="1" fontId="75" fillId="0" borderId="0" xfId="54" applyNumberFormat="1" applyFont="1" applyFill="1" applyAlignment="1" applyProtection="1">
      <alignment vertical="center" wrapText="1"/>
      <protection/>
    </xf>
    <xf numFmtId="190" fontId="73" fillId="0" borderId="0" xfId="65" applyFont="1" applyFill="1" applyAlignment="1" applyProtection="1">
      <alignment horizontal="center"/>
      <protection/>
    </xf>
    <xf numFmtId="194" fontId="55" fillId="0" borderId="0" xfId="65" applyNumberFormat="1" applyFont="1" applyFill="1" applyAlignment="1" applyProtection="1">
      <alignment horizontal="center"/>
      <protection/>
    </xf>
    <xf numFmtId="194" fontId="73" fillId="0" borderId="0" xfId="65" applyNumberFormat="1" applyFont="1" applyFill="1" applyAlignment="1">
      <alignment/>
    </xf>
    <xf numFmtId="217" fontId="55" fillId="0" borderId="0" xfId="54" applyNumberFormat="1" applyFont="1" applyFill="1" applyAlignment="1" applyProtection="1">
      <alignment horizontal="center"/>
      <protection/>
    </xf>
    <xf numFmtId="1" fontId="55" fillId="0" borderId="0" xfId="54" applyNumberFormat="1" applyFont="1" applyFill="1" applyAlignment="1" applyProtection="1">
      <alignment horizontal="center"/>
      <protection/>
    </xf>
    <xf numFmtId="0" fontId="34" fillId="0" borderId="10" xfId="0" applyNumberFormat="1" applyFont="1" applyFill="1" applyBorder="1" applyAlignment="1">
      <alignment horizontal="justify" vertical="top" wrapText="1"/>
    </xf>
    <xf numFmtId="217" fontId="33" fillId="0" borderId="10" xfId="54" applyNumberFormat="1" applyFont="1" applyFill="1" applyBorder="1" applyAlignment="1">
      <alignment horizontal="right" vertical="center"/>
      <protection/>
    </xf>
    <xf numFmtId="0" fontId="73" fillId="0" borderId="0" xfId="54" applyFont="1" applyFill="1" applyBorder="1" applyAlignment="1">
      <alignment horizontal="center"/>
      <protection/>
    </xf>
    <xf numFmtId="49" fontId="84" fillId="0" borderId="0" xfId="54" applyNumberFormat="1" applyFont="1" applyFill="1" applyBorder="1" applyAlignment="1">
      <alignment horizontal="center" vertical="center" wrapText="1"/>
      <protection/>
    </xf>
    <xf numFmtId="1" fontId="84" fillId="0" borderId="0" xfId="55" applyNumberFormat="1" applyFont="1" applyFill="1" applyBorder="1" applyAlignment="1" applyProtection="1">
      <alignment horizontal="justify" vertical="center" wrapText="1"/>
      <protection locked="0"/>
    </xf>
    <xf numFmtId="191" fontId="84" fillId="0" borderId="0" xfId="54" applyNumberFormat="1" applyFont="1" applyFill="1" applyBorder="1" applyAlignment="1">
      <alignment horizontal="center" vertical="center" wrapText="1"/>
      <protection/>
    </xf>
    <xf numFmtId="193" fontId="84" fillId="0" borderId="0" xfId="54" applyNumberFormat="1" applyFont="1" applyFill="1" applyBorder="1" applyAlignment="1">
      <alignment vertical="center" wrapText="1"/>
      <protection/>
    </xf>
    <xf numFmtId="193" fontId="84" fillId="0" borderId="0" xfId="54" applyNumberFormat="1" applyFont="1" applyFill="1" applyBorder="1" applyAlignment="1">
      <alignment horizontal="center" vertical="center" wrapText="1"/>
      <protection/>
    </xf>
    <xf numFmtId="193" fontId="84" fillId="0" borderId="0" xfId="54" applyNumberFormat="1" applyFont="1" applyFill="1" applyBorder="1" applyAlignment="1">
      <alignment horizontal="center" vertical="center"/>
      <protection/>
    </xf>
    <xf numFmtId="217" fontId="84" fillId="0" borderId="0" xfId="54" applyNumberFormat="1" applyFont="1" applyFill="1" applyBorder="1" applyAlignment="1">
      <alignment horizontal="center" vertical="center"/>
      <protection/>
    </xf>
    <xf numFmtId="217" fontId="80" fillId="0" borderId="0" xfId="54" applyNumberFormat="1" applyFont="1" applyFill="1" applyBorder="1" applyAlignment="1">
      <alignment horizontal="center"/>
      <protection/>
    </xf>
    <xf numFmtId="16" fontId="84" fillId="0" borderId="10" xfId="54" applyNumberFormat="1" applyFont="1" applyFill="1" applyBorder="1" applyAlignment="1">
      <alignment horizontal="center" wrapText="1"/>
      <protection/>
    </xf>
    <xf numFmtId="194" fontId="36" fillId="0" borderId="10" xfId="65" applyNumberFormat="1" applyFont="1" applyFill="1" applyBorder="1" applyAlignment="1">
      <alignment horizontal="center" vertical="center" wrapText="1"/>
    </xf>
    <xf numFmtId="193" fontId="36" fillId="0" borderId="10" xfId="54" applyNumberFormat="1" applyFont="1" applyFill="1" applyBorder="1" applyAlignment="1">
      <alignment horizontal="center" vertical="center" wrapText="1"/>
      <protection/>
    </xf>
    <xf numFmtId="217" fontId="35" fillId="0" borderId="10" xfId="54" applyNumberFormat="1" applyFont="1" applyFill="1" applyBorder="1" applyAlignment="1">
      <alignment horizontal="center" vertical="center" wrapText="1"/>
      <protection/>
    </xf>
    <xf numFmtId="193" fontId="90" fillId="0" borderId="10" xfId="54" applyNumberFormat="1" applyFont="1" applyFill="1" applyBorder="1" applyAlignment="1">
      <alignment horizontal="center" vertical="center" wrapText="1"/>
      <protection/>
    </xf>
    <xf numFmtId="217" fontId="90" fillId="0" borderId="10" xfId="54" applyNumberFormat="1" applyFont="1" applyFill="1" applyBorder="1" applyAlignment="1">
      <alignment horizontal="center" vertical="center"/>
      <protection/>
    </xf>
    <xf numFmtId="217" fontId="35" fillId="0" borderId="10" xfId="54" applyNumberFormat="1" applyFont="1" applyFill="1" applyBorder="1" applyAlignment="1">
      <alignment horizontal="center" vertical="center"/>
      <protection/>
    </xf>
    <xf numFmtId="1" fontId="45" fillId="24" borderId="0" xfId="54" applyNumberFormat="1" applyFont="1" applyFill="1" applyAlignment="1" applyProtection="1">
      <alignment horizontal="center" vertical="center"/>
      <protection/>
    </xf>
    <xf numFmtId="192" fontId="20" fillId="24" borderId="0" xfId="51" applyNumberFormat="1" applyFont="1" applyFill="1" applyAlignment="1" applyProtection="1">
      <alignment horizontal="center" vertical="center" wrapText="1"/>
      <protection/>
    </xf>
    <xf numFmtId="192" fontId="58" fillId="24" borderId="19" xfId="54" applyNumberFormat="1" applyFont="1" applyFill="1" applyBorder="1" applyAlignment="1">
      <alignment horizontal="center"/>
      <protection/>
    </xf>
    <xf numFmtId="0" fontId="32" fillId="24" borderId="12" xfId="54" applyFont="1" applyFill="1" applyBorder="1" applyAlignment="1" applyProtection="1">
      <alignment horizontal="center" vertical="center" wrapText="1"/>
      <protection/>
    </xf>
    <xf numFmtId="0" fontId="65" fillId="24" borderId="14" xfId="54" applyNumberFormat="1" applyFont="1" applyFill="1" applyBorder="1" applyAlignment="1" applyProtection="1">
      <alignment horizontal="left" vertical="justify" wrapText="1"/>
      <protection/>
    </xf>
    <xf numFmtId="0" fontId="65" fillId="24" borderId="15" xfId="54" applyNumberFormat="1" applyFont="1" applyFill="1" applyBorder="1" applyAlignment="1" applyProtection="1">
      <alignment horizontal="left" vertical="justify" wrapText="1"/>
      <protection/>
    </xf>
    <xf numFmtId="0" fontId="65" fillId="24" borderId="12" xfId="54" applyNumberFormat="1" applyFont="1" applyFill="1" applyBorder="1" applyAlignment="1" applyProtection="1">
      <alignment horizontal="left" vertical="justify" wrapText="1"/>
      <protection/>
    </xf>
    <xf numFmtId="0" fontId="65" fillId="24" borderId="10" xfId="0" applyFont="1" applyFill="1" applyBorder="1" applyAlignment="1">
      <alignment wrapText="1"/>
    </xf>
    <xf numFmtId="0" fontId="65" fillId="24" borderId="10" xfId="0" applyFont="1" applyFill="1" applyBorder="1" applyAlignment="1">
      <alignment/>
    </xf>
    <xf numFmtId="0" fontId="65" fillId="24" borderId="10" xfId="0" applyFont="1" applyFill="1" applyBorder="1" applyAlignment="1">
      <alignment horizontal="left" vertical="justify" wrapText="1"/>
    </xf>
    <xf numFmtId="0" fontId="65" fillId="24" borderId="14" xfId="0" applyFont="1" applyFill="1" applyBorder="1" applyAlignment="1">
      <alignment horizontal="left"/>
    </xf>
    <xf numFmtId="0" fontId="65" fillId="24" borderId="15" xfId="0" applyFont="1" applyFill="1" applyBorder="1" applyAlignment="1">
      <alignment horizontal="left"/>
    </xf>
    <xf numFmtId="0" fontId="65" fillId="24" borderId="12" xfId="0" applyFont="1" applyFill="1" applyBorder="1" applyAlignment="1">
      <alignment horizontal="left"/>
    </xf>
    <xf numFmtId="0" fontId="65" fillId="24" borderId="14" xfId="0" applyFont="1" applyFill="1" applyBorder="1" applyAlignment="1">
      <alignment horizontal="left" wrapText="1"/>
    </xf>
    <xf numFmtId="0" fontId="65" fillId="24" borderId="15" xfId="0" applyFont="1" applyFill="1" applyBorder="1" applyAlignment="1">
      <alignment horizontal="left" wrapText="1"/>
    </xf>
    <xf numFmtId="0" fontId="65" fillId="24" borderId="12" xfId="0" applyFont="1" applyFill="1" applyBorder="1" applyAlignment="1">
      <alignment horizontal="left" wrapText="1"/>
    </xf>
    <xf numFmtId="190" fontId="66" fillId="24" borderId="0" xfId="65" applyFont="1" applyFill="1" applyAlignment="1" applyProtection="1">
      <alignment horizontal="center" vertical="center"/>
      <protection/>
    </xf>
    <xf numFmtId="1" fontId="22" fillId="24" borderId="0" xfId="54" applyNumberFormat="1" applyFont="1" applyFill="1" applyAlignment="1" applyProtection="1">
      <alignment horizontal="justify" vertical="top" wrapText="1"/>
      <protection/>
    </xf>
    <xf numFmtId="0" fontId="65" fillId="24" borderId="10" xfId="0" applyFont="1" applyFill="1" applyBorder="1" applyAlignment="1">
      <alignment vertical="top" wrapText="1"/>
    </xf>
    <xf numFmtId="0" fontId="65" fillId="24" borderId="10" xfId="0" applyFont="1" applyFill="1" applyBorder="1" applyAlignment="1">
      <alignment vertical="top"/>
    </xf>
    <xf numFmtId="1" fontId="28" fillId="24" borderId="0" xfId="55" applyNumberFormat="1" applyFont="1" applyFill="1" applyBorder="1" applyAlignment="1" applyProtection="1">
      <alignment horizontal="left" vertical="center" wrapText="1"/>
      <protection locked="0"/>
    </xf>
    <xf numFmtId="1" fontId="32" fillId="24" borderId="14" xfId="54" applyNumberFormat="1" applyFont="1" applyFill="1" applyBorder="1" applyAlignment="1">
      <alignment horizontal="center" vertical="center" wrapText="1"/>
      <protection/>
    </xf>
    <xf numFmtId="1" fontId="32" fillId="24" borderId="15" xfId="54" applyNumberFormat="1" applyFont="1" applyFill="1" applyBorder="1" applyAlignment="1">
      <alignment horizontal="center" vertical="center" wrapText="1"/>
      <protection/>
    </xf>
    <xf numFmtId="1" fontId="32" fillId="24" borderId="12" xfId="54" applyNumberFormat="1" applyFont="1" applyFill="1" applyBorder="1" applyAlignment="1">
      <alignment horizontal="center" vertical="center" wrapText="1"/>
      <protection/>
    </xf>
    <xf numFmtId="0" fontId="32" fillId="24" borderId="14" xfId="54" applyFont="1" applyFill="1" applyBorder="1" applyAlignment="1" applyProtection="1">
      <alignment horizontal="center" vertical="center" wrapText="1"/>
      <protection/>
    </xf>
    <xf numFmtId="0" fontId="32" fillId="24" borderId="15" xfId="54" applyFont="1" applyFill="1" applyBorder="1" applyAlignment="1" applyProtection="1">
      <alignment horizontal="center" vertical="center" wrapText="1"/>
      <protection/>
    </xf>
    <xf numFmtId="0" fontId="27" fillId="24" borderId="16" xfId="54" applyFont="1" applyFill="1" applyBorder="1" applyAlignment="1" applyProtection="1">
      <alignment horizontal="center" vertical="center" wrapText="1"/>
      <protection/>
    </xf>
    <xf numFmtId="0" fontId="27" fillId="24" borderId="11" xfId="54" applyFont="1" applyFill="1" applyBorder="1" applyAlignment="1" applyProtection="1">
      <alignment horizontal="center" vertical="center" wrapText="1"/>
      <protection/>
    </xf>
    <xf numFmtId="1" fontId="28" fillId="24" borderId="14" xfId="54" applyNumberFormat="1" applyFont="1" applyFill="1" applyBorder="1" applyAlignment="1">
      <alignment horizontal="center" vertical="center" wrapText="1"/>
      <protection/>
    </xf>
    <xf numFmtId="1" fontId="28" fillId="24" borderId="15" xfId="54" applyNumberFormat="1" applyFont="1" applyFill="1" applyBorder="1" applyAlignment="1">
      <alignment horizontal="center" vertical="center" wrapText="1"/>
      <protection/>
    </xf>
    <xf numFmtId="1" fontId="28" fillId="24" borderId="12" xfId="54" applyNumberFormat="1" applyFont="1" applyFill="1" applyBorder="1" applyAlignment="1">
      <alignment horizontal="center" vertical="center" wrapText="1"/>
      <protection/>
    </xf>
    <xf numFmtId="192" fontId="20" fillId="24" borderId="0" xfId="51" applyNumberFormat="1" applyFont="1" applyFill="1" applyBorder="1" applyAlignment="1" applyProtection="1">
      <alignment horizontal="center" vertical="center" wrapText="1"/>
      <protection/>
    </xf>
    <xf numFmtId="192" fontId="20" fillId="24" borderId="17" xfId="51" applyNumberFormat="1" applyFont="1" applyFill="1" applyBorder="1" applyAlignment="1" applyProtection="1">
      <alignment horizontal="center" vertical="center" wrapText="1"/>
      <protection/>
    </xf>
    <xf numFmtId="192" fontId="58" fillId="24" borderId="20" xfId="54" applyNumberFormat="1" applyFont="1" applyFill="1" applyBorder="1" applyAlignment="1">
      <alignment horizontal="center"/>
      <protection/>
    </xf>
    <xf numFmtId="0" fontId="0" fillId="0" borderId="12" xfId="0" applyBorder="1" applyAlignment="1">
      <alignment horizontal="center" vertical="center" wrapText="1"/>
    </xf>
    <xf numFmtId="1" fontId="70" fillId="24" borderId="14" xfId="54" applyNumberFormat="1" applyFont="1" applyFill="1" applyBorder="1" applyAlignment="1">
      <alignment horizontal="center" vertical="center" wrapText="1"/>
      <protection/>
    </xf>
    <xf numFmtId="1" fontId="70" fillId="24" borderId="15" xfId="54" applyNumberFormat="1" applyFont="1" applyFill="1" applyBorder="1" applyAlignment="1">
      <alignment horizontal="center" vertical="center" wrapText="1"/>
      <protection/>
    </xf>
    <xf numFmtId="1" fontId="70" fillId="24" borderId="12" xfId="54" applyNumberFormat="1" applyFont="1" applyFill="1" applyBorder="1" applyAlignment="1">
      <alignment horizontal="center" vertical="center" wrapText="1"/>
      <protection/>
    </xf>
    <xf numFmtId="192" fontId="80" fillId="24" borderId="0" xfId="51" applyNumberFormat="1" applyFont="1" applyFill="1" applyBorder="1" applyAlignment="1" applyProtection="1">
      <alignment horizontal="center" vertical="center" wrapText="1"/>
      <protection/>
    </xf>
    <xf numFmtId="192" fontId="65" fillId="24" borderId="19" xfId="54" applyNumberFormat="1" applyFont="1" applyFill="1" applyBorder="1" applyAlignment="1">
      <alignment horizontal="center"/>
      <protection/>
    </xf>
    <xf numFmtId="0" fontId="55" fillId="24" borderId="16" xfId="54" applyFont="1" applyFill="1" applyBorder="1" applyAlignment="1" applyProtection="1">
      <alignment horizontal="center" vertical="center" wrapText="1"/>
      <protection/>
    </xf>
    <xf numFmtId="0" fontId="55" fillId="24" borderId="11" xfId="54" applyFont="1" applyFill="1" applyBorder="1" applyAlignment="1" applyProtection="1">
      <alignment horizontal="center" vertical="center" wrapText="1"/>
      <protection/>
    </xf>
    <xf numFmtId="0" fontId="70" fillId="24" borderId="14" xfId="54" applyFont="1" applyFill="1" applyBorder="1" applyAlignment="1" applyProtection="1">
      <alignment horizontal="center" vertical="center" wrapText="1"/>
      <protection/>
    </xf>
    <xf numFmtId="0" fontId="70" fillId="24" borderId="15" xfId="54" applyFont="1" applyFill="1" applyBorder="1" applyAlignment="1" applyProtection="1">
      <alignment horizontal="center" vertical="center" wrapText="1"/>
      <protection/>
    </xf>
    <xf numFmtId="0" fontId="70" fillId="24" borderId="12" xfId="54" applyFont="1" applyFill="1" applyBorder="1" applyAlignment="1" applyProtection="1">
      <alignment horizontal="center" vertical="center" wrapText="1"/>
      <protection/>
    </xf>
    <xf numFmtId="192" fontId="80" fillId="0" borderId="0" xfId="51" applyNumberFormat="1" applyFont="1" applyFill="1" applyBorder="1" applyAlignment="1" applyProtection="1">
      <alignment horizontal="center" vertical="center" wrapText="1"/>
      <protection/>
    </xf>
    <xf numFmtId="1" fontId="22" fillId="0" borderId="16" xfId="54" applyNumberFormat="1" applyFont="1" applyFill="1" applyBorder="1" applyAlignment="1">
      <alignment horizontal="center" vertical="center" wrapText="1"/>
      <protection/>
    </xf>
    <xf numFmtId="1" fontId="22" fillId="0" borderId="13" xfId="54" applyNumberFormat="1" applyFont="1" applyFill="1" applyBorder="1" applyAlignment="1">
      <alignment horizontal="center" vertical="center" wrapText="1"/>
      <protection/>
    </xf>
    <xf numFmtId="1" fontId="22" fillId="0" borderId="11" xfId="54" applyNumberFormat="1" applyFont="1" applyFill="1" applyBorder="1" applyAlignment="1">
      <alignment horizontal="center" vertical="center" wrapText="1"/>
      <protection/>
    </xf>
    <xf numFmtId="217" fontId="22" fillId="0" borderId="14" xfId="54" applyNumberFormat="1" applyFont="1" applyFill="1" applyBorder="1" applyAlignment="1">
      <alignment horizontal="center" vertical="center" wrapText="1"/>
      <protection/>
    </xf>
    <xf numFmtId="217" fontId="22" fillId="0" borderId="12" xfId="54" applyNumberFormat="1" applyFont="1" applyFill="1" applyBorder="1" applyAlignment="1">
      <alignment horizontal="center" vertical="center" wrapText="1"/>
      <protection/>
    </xf>
    <xf numFmtId="0" fontId="22" fillId="0" borderId="16" xfId="54" applyFont="1" applyFill="1" applyBorder="1" applyAlignment="1">
      <alignment horizontal="center" vertical="center" wrapText="1"/>
      <protection/>
    </xf>
    <xf numFmtId="0" fontId="22" fillId="0" borderId="11" xfId="54" applyFont="1" applyFill="1" applyBorder="1" applyAlignment="1">
      <alignment horizontal="center" vertical="center" wrapText="1"/>
      <protection/>
    </xf>
    <xf numFmtId="0" fontId="22" fillId="0" borderId="16" xfId="0" applyFont="1" applyFill="1" applyBorder="1" applyAlignment="1" applyProtection="1">
      <alignment horizontal="center" vertical="center" wrapText="1"/>
      <protection/>
    </xf>
    <xf numFmtId="0" fontId="22" fillId="0" borderId="11" xfId="0" applyFont="1" applyFill="1" applyBorder="1" applyAlignment="1" applyProtection="1">
      <alignment horizontal="center" vertical="center" wrapText="1"/>
      <protection/>
    </xf>
    <xf numFmtId="1" fontId="22" fillId="0" borderId="16" xfId="0" applyNumberFormat="1" applyFont="1" applyFill="1" applyBorder="1" applyAlignment="1">
      <alignment horizontal="center" vertical="center" wrapText="1"/>
    </xf>
    <xf numFmtId="1" fontId="22" fillId="0" borderId="11" xfId="0" applyNumberFormat="1" applyFont="1" applyFill="1" applyBorder="1" applyAlignment="1">
      <alignment horizontal="center" vertical="center" wrapText="1"/>
    </xf>
    <xf numFmtId="49" fontId="65" fillId="0" borderId="0" xfId="54" applyNumberFormat="1" applyFont="1" applyFill="1" applyBorder="1" applyAlignment="1">
      <alignment horizontal="left" vertical="center" wrapText="1"/>
      <protection/>
    </xf>
    <xf numFmtId="0" fontId="33" fillId="0" borderId="16" xfId="54" applyFont="1" applyFill="1" applyBorder="1" applyAlignment="1">
      <alignment horizontal="center" vertical="center"/>
      <protection/>
    </xf>
    <xf numFmtId="0" fontId="33" fillId="0" borderId="13" xfId="54" applyFont="1" applyFill="1" applyBorder="1" applyAlignment="1">
      <alignment horizontal="center" vertical="center"/>
      <protection/>
    </xf>
    <xf numFmtId="0" fontId="33" fillId="0" borderId="11" xfId="54" applyFont="1" applyFill="1" applyBorder="1" applyAlignment="1">
      <alignment horizontal="center" vertical="center"/>
      <protection/>
    </xf>
    <xf numFmtId="0" fontId="33" fillId="0" borderId="10" xfId="54" applyFont="1" applyFill="1" applyBorder="1" applyAlignment="1" applyProtection="1">
      <alignment horizontal="center" vertical="center" wrapText="1"/>
      <protection/>
    </xf>
    <xf numFmtId="1" fontId="22" fillId="0" borderId="14" xfId="54" applyNumberFormat="1" applyFont="1" applyFill="1" applyBorder="1" applyAlignment="1">
      <alignment horizontal="center" vertical="center" wrapText="1"/>
      <protection/>
    </xf>
    <xf numFmtId="1" fontId="22" fillId="0" borderId="15" xfId="54" applyNumberFormat="1" applyFont="1" applyFill="1" applyBorder="1" applyAlignment="1">
      <alignment horizontal="center" vertical="center" wrapText="1"/>
      <protection/>
    </xf>
    <xf numFmtId="1" fontId="22" fillId="0" borderId="12" xfId="54" applyNumberFormat="1" applyFont="1" applyFill="1" applyBorder="1" applyAlignment="1">
      <alignment horizontal="center" vertical="center" wrapText="1"/>
      <protection/>
    </xf>
    <xf numFmtId="1" fontId="22" fillId="0" borderId="10" xfId="54" applyNumberFormat="1" applyFont="1" applyFill="1" applyBorder="1" applyAlignment="1">
      <alignment horizontal="center" vertical="center" wrapText="1"/>
      <protection/>
    </xf>
    <xf numFmtId="0" fontId="70" fillId="24" borderId="14" xfId="54" applyFont="1" applyFill="1" applyBorder="1" applyAlignment="1" applyProtection="1">
      <alignment horizontal="center" vertical="center" wrapText="1"/>
      <protection/>
    </xf>
    <xf numFmtId="0" fontId="70" fillId="24" borderId="15" xfId="54" applyFont="1" applyFill="1" applyBorder="1" applyAlignment="1" applyProtection="1">
      <alignment horizontal="center" vertical="center" wrapText="1"/>
      <protection/>
    </xf>
    <xf numFmtId="0" fontId="70" fillId="24" borderId="12" xfId="54" applyFont="1" applyFill="1" applyBorder="1" applyAlignment="1" applyProtection="1">
      <alignment horizontal="center" vertical="center" wrapText="1"/>
      <protection/>
    </xf>
    <xf numFmtId="1" fontId="70" fillId="24" borderId="14" xfId="54" applyNumberFormat="1" applyFont="1" applyFill="1" applyBorder="1" applyAlignment="1">
      <alignment horizontal="center" vertical="center" wrapText="1"/>
      <protection/>
    </xf>
    <xf numFmtId="1" fontId="70" fillId="24" borderId="15" xfId="54" applyNumberFormat="1" applyFont="1" applyFill="1" applyBorder="1" applyAlignment="1">
      <alignment horizontal="center" vertical="center" wrapText="1"/>
      <protection/>
    </xf>
    <xf numFmtId="1" fontId="70" fillId="24" borderId="12" xfId="54" applyNumberFormat="1" applyFont="1" applyFill="1" applyBorder="1" applyAlignment="1">
      <alignment horizontal="center" vertical="center" wrapText="1"/>
      <protection/>
    </xf>
    <xf numFmtId="1" fontId="22" fillId="24" borderId="0" xfId="54" applyNumberFormat="1" applyFont="1" applyFill="1" applyAlignment="1" applyProtection="1">
      <alignment horizontal="justify" vertical="top" wrapText="1"/>
      <protection/>
    </xf>
    <xf numFmtId="0" fontId="85" fillId="24" borderId="0" xfId="54" applyFont="1" applyFill="1" applyBorder="1" applyAlignment="1">
      <alignment/>
      <protection/>
    </xf>
    <xf numFmtId="0" fontId="86" fillId="24" borderId="0" xfId="0" applyFont="1" applyFill="1" applyAlignment="1">
      <alignment/>
    </xf>
    <xf numFmtId="192" fontId="80" fillId="25" borderId="0" xfId="51" applyNumberFormat="1" applyFont="1" applyFill="1" applyBorder="1" applyAlignment="1" applyProtection="1">
      <alignment horizontal="center" vertical="center" wrapText="1"/>
      <protection/>
    </xf>
    <xf numFmtId="192" fontId="65" fillId="24" borderId="19" xfId="54" applyNumberFormat="1" applyFont="1" applyFill="1" applyBorder="1" applyAlignment="1">
      <alignment horizontal="center"/>
      <protection/>
    </xf>
    <xf numFmtId="0" fontId="55" fillId="24" borderId="16" xfId="54" applyFont="1" applyFill="1" applyBorder="1" applyAlignment="1" applyProtection="1">
      <alignment horizontal="center" vertical="center" wrapText="1"/>
      <protection/>
    </xf>
    <xf numFmtId="0" fontId="55" fillId="24" borderId="11" xfId="54" applyFont="1" applyFill="1" applyBorder="1" applyAlignment="1" applyProtection="1">
      <alignment horizontal="center" vertical="center" wrapText="1"/>
      <protection/>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08.07.2016" xfId="53"/>
    <cellStyle name="Обычный_Декадка с %" xfId="54"/>
    <cellStyle name="Обычный_Додаток 2"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Тысячи [0]_Лист1" xfId="63"/>
    <cellStyle name="Тысячи_Лист1"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21-fs2\dfei\Users\shchelinskii_a\Desktop\&#1045;&#1045;&#1045;&#104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1.08.2017 (з урах довідок)Удал"/>
      <sheetName val="01.12.2017"/>
      <sheetName val="01.01.2018 "/>
      <sheetName val="01.01.2018x "/>
      <sheetName val="07.12.2017 ЗАГАТОВКА"/>
      <sheetName val="11.01.2018"/>
      <sheetName val="18.01.2018"/>
      <sheetName val="25.01.2018"/>
      <sheetName val="01.02.2018 (за cічень)"/>
      <sheetName val="08.02.2018 "/>
      <sheetName val="15.02.2018 "/>
      <sheetName val="22.02.2018 "/>
      <sheetName val="01.03.2018 (за лютий) "/>
      <sheetName val="06.03.2018"/>
      <sheetName val="15.03.2018"/>
      <sheetName val="22.03.2018"/>
      <sheetName val="29.03.2018"/>
      <sheetName val="01.04.2018 (за березень)"/>
      <sheetName val="01.04.2018 (за березень) Вн"/>
      <sheetName val="05.04.2018"/>
      <sheetName val="12.04.2018"/>
      <sheetName val="19.04.2018"/>
      <sheetName val="26.04.2018"/>
      <sheetName val="01.05.2018"/>
      <sheetName val="01.05.2018 Вн"/>
      <sheetName val="10.05.2018"/>
      <sheetName val="17.05.2018"/>
      <sheetName val="24.05.2018"/>
      <sheetName val="01.06.2018 (за травень) "/>
      <sheetName val="01.06.2018 (за травень Вн)  "/>
      <sheetName val="07.06.2018 "/>
      <sheetName val="14.06.2018 "/>
      <sheetName val="21.06.2018 "/>
      <sheetName val="01.07.2018 (за червень)"/>
      <sheetName val="12.07.201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0"/>
  </sheetPr>
  <dimension ref="A1:X339"/>
  <sheetViews>
    <sheetView showZeros="0" view="pageBreakPreview" zoomScale="65" zoomScaleNormal="65" zoomScaleSheetLayoutView="65" zoomScalePageLayoutView="0" workbookViewId="0" topLeftCell="A4">
      <pane xSplit="2" ySplit="4" topLeftCell="C8" activePane="bottomRight" state="frozen"/>
      <selection pane="topLeft" activeCell="A4" sqref="A4"/>
      <selection pane="topRight" activeCell="C4" sqref="C4"/>
      <selection pane="bottomLeft" activeCell="A8" sqref="A8"/>
      <selection pane="bottomRight" activeCell="D10" sqref="D10"/>
    </sheetView>
  </sheetViews>
  <sheetFormatPr defaultColWidth="12.19921875" defaultRowHeight="15"/>
  <cols>
    <col min="1" max="1" width="35.69921875" style="123" customWidth="1"/>
    <col min="2" max="2" width="11.59765625" style="124" customWidth="1"/>
    <col min="3" max="3" width="11.69921875" style="15" customWidth="1"/>
    <col min="4" max="4" width="11.69921875" style="79" customWidth="1"/>
    <col min="5" max="5" width="11.3984375" style="79" customWidth="1"/>
    <col min="6" max="6" width="10.3984375" style="79" customWidth="1"/>
    <col min="7" max="7" width="13.8984375" style="79" customWidth="1"/>
    <col min="8" max="8" width="13.19921875" style="79" customWidth="1"/>
    <col min="9" max="9" width="11.3984375" style="229" hidden="1" customWidth="1"/>
    <col min="10" max="10" width="11.3984375" style="95" customWidth="1"/>
    <col min="11" max="11" width="11.69921875" style="229" hidden="1" customWidth="1"/>
    <col min="12" max="12" width="11.69921875" style="15" customWidth="1"/>
    <col min="13" max="13" width="13.59765625" style="15" customWidth="1"/>
    <col min="14" max="14" width="7.69921875" style="15" customWidth="1"/>
    <col min="15" max="15" width="11.69921875" style="15" customWidth="1"/>
    <col min="16" max="16" width="8.8984375" style="202" customWidth="1"/>
    <col min="17" max="17" width="10.69921875" style="15" customWidth="1"/>
    <col min="18" max="18" width="10.59765625" style="202" customWidth="1"/>
    <col min="19" max="19" width="36.19921875" style="15" customWidth="1"/>
    <col min="20" max="22" width="12.19921875" style="15" customWidth="1"/>
    <col min="23" max="23" width="12.19921875" style="142" customWidth="1"/>
    <col min="24" max="16384" width="12.19921875" style="15" customWidth="1"/>
  </cols>
  <sheetData>
    <row r="1" spans="16:23" ht="18.75">
      <c r="P1" s="125"/>
      <c r="R1" s="125"/>
      <c r="S1" s="15">
        <v>16</v>
      </c>
      <c r="W1" s="126"/>
    </row>
    <row r="2" spans="1:23" s="127" customFormat="1" ht="22.5">
      <c r="A2" s="793" t="s">
        <v>41</v>
      </c>
      <c r="B2" s="793"/>
      <c r="C2" s="793"/>
      <c r="D2" s="793"/>
      <c r="E2" s="793"/>
      <c r="F2" s="793"/>
      <c r="G2" s="793"/>
      <c r="H2" s="793"/>
      <c r="I2" s="793"/>
      <c r="J2" s="793"/>
      <c r="K2" s="793"/>
      <c r="L2" s="793"/>
      <c r="M2" s="793"/>
      <c r="N2" s="793"/>
      <c r="O2" s="793"/>
      <c r="P2" s="793"/>
      <c r="Q2" s="793"/>
      <c r="R2" s="793"/>
      <c r="W2" s="128"/>
    </row>
    <row r="3" spans="1:23" s="127" customFormat="1" ht="20.25">
      <c r="A3" s="129"/>
      <c r="B3" s="130"/>
      <c r="C3" s="21"/>
      <c r="D3" s="80"/>
      <c r="E3" s="96"/>
      <c r="F3" s="96"/>
      <c r="G3" s="80"/>
      <c r="H3" s="80"/>
      <c r="I3" s="230"/>
      <c r="J3" s="95"/>
      <c r="K3" s="237"/>
      <c r="L3" s="21"/>
      <c r="M3" s="794"/>
      <c r="N3" s="794"/>
      <c r="O3" s="794"/>
      <c r="P3" s="794"/>
      <c r="Q3" s="794"/>
      <c r="R3" s="794"/>
      <c r="W3" s="128"/>
    </row>
    <row r="4" spans="1:23" s="132" customFormat="1" ht="18.75" customHeight="1">
      <c r="A4" s="818" t="s">
        <v>61</v>
      </c>
      <c r="B4" s="820">
        <v>2016</v>
      </c>
      <c r="C4" s="821"/>
      <c r="D4" s="821"/>
      <c r="E4" s="821"/>
      <c r="F4" s="822"/>
      <c r="G4" s="820">
        <v>2017</v>
      </c>
      <c r="H4" s="821"/>
      <c r="I4" s="821"/>
      <c r="J4" s="821"/>
      <c r="K4" s="821"/>
      <c r="L4" s="821"/>
      <c r="M4" s="821"/>
      <c r="N4" s="821"/>
      <c r="O4" s="821"/>
      <c r="P4" s="821"/>
      <c r="Q4" s="821"/>
      <c r="R4" s="822"/>
      <c r="S4" s="131"/>
      <c r="W4" s="133"/>
    </row>
    <row r="5" spans="1:23" s="136" customFormat="1" ht="162.75" customHeight="1">
      <c r="A5" s="819"/>
      <c r="B5" s="20" t="s">
        <v>119</v>
      </c>
      <c r="C5" s="4" t="s">
        <v>120</v>
      </c>
      <c r="D5" s="20" t="s">
        <v>42</v>
      </c>
      <c r="E5" s="19" t="s">
        <v>43</v>
      </c>
      <c r="F5" s="97" t="s">
        <v>44</v>
      </c>
      <c r="G5" s="81" t="s">
        <v>310</v>
      </c>
      <c r="H5" s="81" t="s">
        <v>33</v>
      </c>
      <c r="I5" s="115" t="s">
        <v>141</v>
      </c>
      <c r="J5" s="81" t="s">
        <v>34</v>
      </c>
      <c r="K5" s="115" t="s">
        <v>62</v>
      </c>
      <c r="L5" s="4" t="s">
        <v>63</v>
      </c>
      <c r="M5" s="19" t="s">
        <v>35</v>
      </c>
      <c r="N5" s="19" t="s">
        <v>138</v>
      </c>
      <c r="O5" s="19" t="s">
        <v>139</v>
      </c>
      <c r="P5" s="19" t="s">
        <v>64</v>
      </c>
      <c r="Q5" s="19" t="s">
        <v>140</v>
      </c>
      <c r="R5" s="19" t="s">
        <v>267</v>
      </c>
      <c r="S5" s="134" t="s">
        <v>303</v>
      </c>
      <c r="T5" s="135"/>
      <c r="W5" s="137"/>
    </row>
    <row r="6" spans="1:23" s="136" customFormat="1" ht="15.75">
      <c r="A6" s="138">
        <v>1</v>
      </c>
      <c r="B6" s="139">
        <v>2</v>
      </c>
      <c r="C6" s="139">
        <v>3</v>
      </c>
      <c r="D6" s="139">
        <v>4</v>
      </c>
      <c r="E6" s="98">
        <v>5</v>
      </c>
      <c r="F6" s="98">
        <v>6</v>
      </c>
      <c r="G6" s="5">
        <v>7</v>
      </c>
      <c r="H6" s="5">
        <v>8</v>
      </c>
      <c r="I6" s="215">
        <v>9</v>
      </c>
      <c r="J6" s="5">
        <v>9</v>
      </c>
      <c r="K6" s="238">
        <v>11</v>
      </c>
      <c r="L6" s="5">
        <v>10</v>
      </c>
      <c r="M6" s="5">
        <v>11</v>
      </c>
      <c r="N6" s="99">
        <v>12</v>
      </c>
      <c r="O6" s="5">
        <v>13</v>
      </c>
      <c r="P6" s="139">
        <v>14</v>
      </c>
      <c r="Q6" s="139">
        <v>15</v>
      </c>
      <c r="R6" s="139">
        <v>16</v>
      </c>
      <c r="S6" s="140" t="s">
        <v>305</v>
      </c>
      <c r="T6" s="141">
        <v>0.5833333333333334</v>
      </c>
      <c r="W6" s="137"/>
    </row>
    <row r="7" spans="1:20" ht="19.5">
      <c r="A7" s="816" t="s">
        <v>65</v>
      </c>
      <c r="B7" s="817"/>
      <c r="C7" s="817"/>
      <c r="D7" s="817"/>
      <c r="E7" s="817"/>
      <c r="F7" s="817"/>
      <c r="G7" s="817"/>
      <c r="H7" s="817"/>
      <c r="I7" s="817"/>
      <c r="J7" s="817"/>
      <c r="K7" s="817"/>
      <c r="L7" s="817"/>
      <c r="M7" s="817"/>
      <c r="N7" s="817"/>
      <c r="O7" s="817"/>
      <c r="P7" s="817"/>
      <c r="Q7" s="817"/>
      <c r="R7" s="795"/>
      <c r="S7" s="140" t="s">
        <v>306</v>
      </c>
      <c r="T7" s="141">
        <v>0.5</v>
      </c>
    </row>
    <row r="8" spans="1:23" s="143" customFormat="1" ht="21.75" customHeight="1">
      <c r="A8" s="46" t="s">
        <v>66</v>
      </c>
      <c r="B8" s="47">
        <v>10000000</v>
      </c>
      <c r="C8" s="6">
        <v>993675.1</v>
      </c>
      <c r="D8" s="6">
        <v>547712.6906900001</v>
      </c>
      <c r="E8" s="6">
        <v>154817.00930999988</v>
      </c>
      <c r="F8" s="6">
        <v>128.2660986209693</v>
      </c>
      <c r="G8" s="6">
        <v>1280317.7</v>
      </c>
      <c r="H8" s="6">
        <v>746852</v>
      </c>
      <c r="I8" s="203">
        <v>746852</v>
      </c>
      <c r="J8" s="6">
        <v>726754.4</v>
      </c>
      <c r="K8" s="203">
        <v>726754.4</v>
      </c>
      <c r="L8" s="6">
        <v>702529.7</v>
      </c>
      <c r="M8" s="6">
        <v>105579.60000000002</v>
      </c>
      <c r="N8" s="6">
        <v>54.87151353136803</v>
      </c>
      <c r="O8" s="6">
        <v>94.06545071848237</v>
      </c>
      <c r="P8" s="6">
        <v>96.66672812713621</v>
      </c>
      <c r="Q8" s="6">
        <v>-44322.30000000005</v>
      </c>
      <c r="R8" s="6">
        <v>-24224.70000000007</v>
      </c>
      <c r="S8" s="140" t="s">
        <v>49</v>
      </c>
      <c r="T8" s="141">
        <v>0.08333333333333333</v>
      </c>
      <c r="U8" s="89">
        <v>0</v>
      </c>
      <c r="V8" s="89">
        <v>0</v>
      </c>
      <c r="W8" s="90">
        <v>0</v>
      </c>
    </row>
    <row r="9" spans="1:23" s="143" customFormat="1" ht="52.5" customHeight="1">
      <c r="A9" s="46" t="s">
        <v>67</v>
      </c>
      <c r="B9" s="47">
        <v>11000000</v>
      </c>
      <c r="C9" s="6">
        <v>610292</v>
      </c>
      <c r="D9" s="6">
        <v>335002.4</v>
      </c>
      <c r="E9" s="6">
        <v>118276.39999999997</v>
      </c>
      <c r="F9" s="6">
        <v>135.306135120226</v>
      </c>
      <c r="G9" s="6">
        <v>825900.1</v>
      </c>
      <c r="H9" s="6">
        <v>481775.1</v>
      </c>
      <c r="I9" s="203">
        <v>481775.1</v>
      </c>
      <c r="J9" s="6">
        <v>467509.1</v>
      </c>
      <c r="K9" s="203">
        <v>467509.1</v>
      </c>
      <c r="L9" s="6">
        <v>453278.8</v>
      </c>
      <c r="M9" s="6">
        <v>72253.60000000002</v>
      </c>
      <c r="N9" s="6">
        <v>54.88300582600728</v>
      </c>
      <c r="O9" s="6">
        <v>94.08514470756168</v>
      </c>
      <c r="P9" s="6">
        <v>96.95614481087105</v>
      </c>
      <c r="Q9" s="6">
        <v>-28496.29999999999</v>
      </c>
      <c r="R9" s="6">
        <v>-14230.299999999988</v>
      </c>
      <c r="S9" s="88">
        <v>0</v>
      </c>
      <c r="T9" s="240">
        <v>471942.9142857143</v>
      </c>
      <c r="U9" s="89">
        <v>0</v>
      </c>
      <c r="V9" s="89">
        <v>0</v>
      </c>
      <c r="W9" s="90">
        <v>0</v>
      </c>
    </row>
    <row r="10" spans="1:23" s="91" customFormat="1" ht="37.5" customHeight="1">
      <c r="A10" s="29" t="s">
        <v>153</v>
      </c>
      <c r="B10" s="27">
        <v>11010000</v>
      </c>
      <c r="C10" s="3">
        <v>610107.9</v>
      </c>
      <c r="D10" s="3">
        <v>334846</v>
      </c>
      <c r="E10" s="25">
        <v>118045.20000000001</v>
      </c>
      <c r="F10" s="25">
        <v>135.25357925733024</v>
      </c>
      <c r="G10" s="3">
        <v>825336</v>
      </c>
      <c r="H10" s="3">
        <v>481446</v>
      </c>
      <c r="I10" s="219">
        <v>481446</v>
      </c>
      <c r="J10" s="3">
        <v>466975</v>
      </c>
      <c r="K10" s="216">
        <v>466975</v>
      </c>
      <c r="L10" s="3">
        <v>452891.2</v>
      </c>
      <c r="M10" s="3">
        <v>72253.40000000002</v>
      </c>
      <c r="N10" s="25">
        <v>54.87355452809523</v>
      </c>
      <c r="O10" s="25">
        <v>94.06895061959182</v>
      </c>
      <c r="P10" s="25">
        <v>96.98403554794155</v>
      </c>
      <c r="Q10" s="25">
        <v>-28554.79999999999</v>
      </c>
      <c r="R10" s="25">
        <v>-14083.799999999988</v>
      </c>
      <c r="S10" s="88">
        <v>60.72562973058028</v>
      </c>
      <c r="T10" s="240">
        <v>471620.5714285714</v>
      </c>
      <c r="U10" s="89">
        <v>0</v>
      </c>
      <c r="V10" s="89">
        <v>0</v>
      </c>
      <c r="W10" s="90">
        <v>0</v>
      </c>
    </row>
    <row r="11" spans="1:23" s="92" customFormat="1" ht="42.75" customHeight="1" hidden="1">
      <c r="A11" s="59" t="s">
        <v>68</v>
      </c>
      <c r="B11" s="33">
        <v>11010600</v>
      </c>
      <c r="C11" s="8"/>
      <c r="D11" s="8"/>
      <c r="E11" s="25">
        <v>0</v>
      </c>
      <c r="F11" s="14" t="e">
        <v>#DIV/0!</v>
      </c>
      <c r="G11" s="8"/>
      <c r="H11" s="8"/>
      <c r="I11" s="217">
        <v>0</v>
      </c>
      <c r="J11" s="8"/>
      <c r="K11" s="217"/>
      <c r="L11" s="8"/>
      <c r="M11" s="3" t="e">
        <v>#REF!</v>
      </c>
      <c r="N11" s="34" t="e">
        <v>#DIV/0!</v>
      </c>
      <c r="O11" s="14" t="e">
        <v>#DIV/0!</v>
      </c>
      <c r="P11" s="34" t="e">
        <v>#DIV/0!</v>
      </c>
      <c r="Q11" s="25">
        <v>0</v>
      </c>
      <c r="R11" s="25">
        <v>0</v>
      </c>
      <c r="S11" s="88">
        <v>0</v>
      </c>
      <c r="T11" s="240">
        <v>0</v>
      </c>
      <c r="U11" s="89" t="e">
        <v>#DIV/0!</v>
      </c>
      <c r="V11" s="89" t="e">
        <v>#DIV/0!</v>
      </c>
      <c r="W11" s="90" t="e">
        <v>#DIV/0!</v>
      </c>
    </row>
    <row r="12" spans="1:23" s="92" customFormat="1" ht="34.5" customHeight="1">
      <c r="A12" s="26" t="s">
        <v>293</v>
      </c>
      <c r="B12" s="27">
        <v>11020000</v>
      </c>
      <c r="C12" s="3">
        <v>184.1</v>
      </c>
      <c r="D12" s="3">
        <v>156.4</v>
      </c>
      <c r="E12" s="25">
        <v>231.20000000000002</v>
      </c>
      <c r="F12" s="25">
        <v>247.82608695652172</v>
      </c>
      <c r="G12" s="3">
        <v>564.1</v>
      </c>
      <c r="H12" s="3">
        <v>329.1</v>
      </c>
      <c r="I12" s="216">
        <v>329.1</v>
      </c>
      <c r="J12" s="3">
        <v>534.1</v>
      </c>
      <c r="K12" s="216">
        <v>534.1</v>
      </c>
      <c r="L12" s="3">
        <v>387.6</v>
      </c>
      <c r="M12" s="3">
        <v>0.20000000000004547</v>
      </c>
      <c r="N12" s="3">
        <v>68.7112214146428</v>
      </c>
      <c r="O12" s="25">
        <v>117.77575205104831</v>
      </c>
      <c r="P12" s="3">
        <v>72.57067964800599</v>
      </c>
      <c r="Q12" s="25">
        <v>58.5</v>
      </c>
      <c r="R12" s="25">
        <v>-146.5</v>
      </c>
      <c r="S12" s="88">
        <v>0.05197110052827901</v>
      </c>
      <c r="T12" s="240">
        <v>322.34285714285716</v>
      </c>
      <c r="U12" s="89">
        <v>0</v>
      </c>
      <c r="V12" s="89">
        <v>0</v>
      </c>
      <c r="W12" s="90">
        <v>0</v>
      </c>
    </row>
    <row r="13" spans="1:23" s="145" customFormat="1" ht="53.25" customHeight="1">
      <c r="A13" s="144" t="s">
        <v>69</v>
      </c>
      <c r="B13" s="33">
        <v>11020201</v>
      </c>
      <c r="C13" s="8">
        <v>184.1</v>
      </c>
      <c r="D13" s="8">
        <v>156.4</v>
      </c>
      <c r="E13" s="25">
        <v>231.20000000000002</v>
      </c>
      <c r="F13" s="25">
        <v>247.82608695652172</v>
      </c>
      <c r="G13" s="8">
        <v>564.1</v>
      </c>
      <c r="H13" s="3">
        <v>329.1</v>
      </c>
      <c r="I13" s="216">
        <v>329.1</v>
      </c>
      <c r="J13" s="8">
        <v>534.1</v>
      </c>
      <c r="K13" s="217">
        <v>534.1</v>
      </c>
      <c r="L13" s="8">
        <v>387.6</v>
      </c>
      <c r="M13" s="3">
        <v>0.20000000000004547</v>
      </c>
      <c r="N13" s="36">
        <v>68.7112214146428</v>
      </c>
      <c r="O13" s="25">
        <v>117.77575205104831</v>
      </c>
      <c r="P13" s="36">
        <v>72.57067964800599</v>
      </c>
      <c r="Q13" s="25">
        <v>58.5</v>
      </c>
      <c r="R13" s="25">
        <v>-146.5</v>
      </c>
      <c r="S13" s="88">
        <v>0.05197110052827901</v>
      </c>
      <c r="T13" s="240">
        <v>322.34285714285716</v>
      </c>
      <c r="U13" s="89">
        <v>0</v>
      </c>
      <c r="V13" s="89">
        <v>0</v>
      </c>
      <c r="W13" s="90">
        <v>0</v>
      </c>
    </row>
    <row r="14" spans="1:23" s="147" customFormat="1" ht="50.25" customHeight="1">
      <c r="A14" s="146" t="s">
        <v>123</v>
      </c>
      <c r="B14" s="43">
        <v>13000000</v>
      </c>
      <c r="C14" s="9">
        <v>104.1</v>
      </c>
      <c r="D14" s="9">
        <v>62.2</v>
      </c>
      <c r="E14" s="6">
        <v>-25.300000000000004</v>
      </c>
      <c r="F14" s="6">
        <v>59.32475884244373</v>
      </c>
      <c r="G14" s="9">
        <v>199.7</v>
      </c>
      <c r="H14" s="9">
        <v>116.5</v>
      </c>
      <c r="I14" s="205">
        <v>116.5</v>
      </c>
      <c r="J14" s="9">
        <v>126.9</v>
      </c>
      <c r="K14" s="205">
        <v>126.9</v>
      </c>
      <c r="L14" s="9">
        <v>36.9</v>
      </c>
      <c r="M14" s="9">
        <v>4.700000000000001</v>
      </c>
      <c r="N14" s="9">
        <v>18.477716574862292</v>
      </c>
      <c r="O14" s="6">
        <v>31.67381974248927</v>
      </c>
      <c r="P14" s="9">
        <v>29.078014184397162</v>
      </c>
      <c r="Q14" s="6">
        <v>-79.6</v>
      </c>
      <c r="R14" s="6">
        <v>-90</v>
      </c>
      <c r="S14" s="88">
        <v>0.004947713130788171</v>
      </c>
      <c r="T14" s="89">
        <v>0</v>
      </c>
      <c r="U14" s="89">
        <v>0</v>
      </c>
      <c r="V14" s="89">
        <v>0</v>
      </c>
      <c r="W14" s="90">
        <v>0</v>
      </c>
    </row>
    <row r="15" spans="1:23" s="148" customFormat="1" ht="89.25" customHeight="1">
      <c r="A15" s="56" t="s">
        <v>124</v>
      </c>
      <c r="B15" s="30">
        <v>13010200</v>
      </c>
      <c r="C15" s="3">
        <v>54.7</v>
      </c>
      <c r="D15" s="3">
        <v>24.2</v>
      </c>
      <c r="E15" s="25">
        <v>1.6999999999999993</v>
      </c>
      <c r="F15" s="25">
        <v>107.02479338842974</v>
      </c>
      <c r="G15" s="3">
        <v>98.6</v>
      </c>
      <c r="H15" s="3">
        <v>57.5</v>
      </c>
      <c r="I15" s="219">
        <v>57.5</v>
      </c>
      <c r="J15" s="3">
        <v>49.2</v>
      </c>
      <c r="K15" s="216">
        <v>49.2</v>
      </c>
      <c r="L15" s="3">
        <v>25.9</v>
      </c>
      <c r="M15" s="3">
        <v>3</v>
      </c>
      <c r="N15" s="3">
        <v>26.267748478701826</v>
      </c>
      <c r="O15" s="3">
        <v>45.04347826086956</v>
      </c>
      <c r="P15" s="3">
        <v>52.642276422764226</v>
      </c>
      <c r="Q15" s="25">
        <v>-31.6</v>
      </c>
      <c r="R15" s="25">
        <v>-23.300000000000004</v>
      </c>
      <c r="S15" s="88">
        <v>0.0034727850972198814</v>
      </c>
      <c r="T15" s="89">
        <v>0</v>
      </c>
      <c r="U15" s="89">
        <v>0</v>
      </c>
      <c r="V15" s="89">
        <v>0</v>
      </c>
      <c r="W15" s="90">
        <v>0</v>
      </c>
    </row>
    <row r="16" spans="1:23" s="147" customFormat="1" ht="45">
      <c r="A16" s="56" t="s">
        <v>145</v>
      </c>
      <c r="B16" s="30">
        <v>13020400</v>
      </c>
      <c r="C16" s="3"/>
      <c r="D16" s="3"/>
      <c r="E16" s="25">
        <v>0</v>
      </c>
      <c r="F16" s="110" t="e">
        <v>#DIV/0!</v>
      </c>
      <c r="G16" s="9"/>
      <c r="H16" s="9"/>
      <c r="I16" s="205"/>
      <c r="J16" s="9"/>
      <c r="K16" s="205"/>
      <c r="L16" s="3"/>
      <c r="M16" s="3">
        <v>-0.1</v>
      </c>
      <c r="N16" s="3"/>
      <c r="O16" s="3"/>
      <c r="P16" s="3"/>
      <c r="Q16" s="25">
        <v>0</v>
      </c>
      <c r="R16" s="25">
        <v>0</v>
      </c>
      <c r="S16" s="88">
        <v>0</v>
      </c>
      <c r="T16" s="89">
        <v>0</v>
      </c>
      <c r="U16" s="89" t="e">
        <v>#DIV/0!</v>
      </c>
      <c r="V16" s="89" t="e">
        <v>#DIV/0!</v>
      </c>
      <c r="W16" s="90" t="e">
        <v>#DIV/0!</v>
      </c>
    </row>
    <row r="17" spans="1:23" s="91" customFormat="1" ht="34.5" customHeight="1">
      <c r="A17" s="58" t="s">
        <v>125</v>
      </c>
      <c r="B17" s="27">
        <v>13030000</v>
      </c>
      <c r="C17" s="3">
        <v>49.4</v>
      </c>
      <c r="D17" s="3">
        <v>38</v>
      </c>
      <c r="E17" s="25">
        <v>-27</v>
      </c>
      <c r="F17" s="25">
        <v>28.947368421052634</v>
      </c>
      <c r="G17" s="3">
        <v>101.1</v>
      </c>
      <c r="H17" s="3">
        <v>59</v>
      </c>
      <c r="I17" s="216">
        <v>59</v>
      </c>
      <c r="J17" s="3">
        <v>77.7</v>
      </c>
      <c r="K17" s="216">
        <v>77.7</v>
      </c>
      <c r="L17" s="3">
        <v>11</v>
      </c>
      <c r="M17" s="3">
        <v>1.8000000000000007</v>
      </c>
      <c r="N17" s="25">
        <v>10.880316518298715</v>
      </c>
      <c r="O17" s="25">
        <v>18.64406779661017</v>
      </c>
      <c r="P17" s="25">
        <v>14.157014157014155</v>
      </c>
      <c r="Q17" s="25">
        <v>-48</v>
      </c>
      <c r="R17" s="25">
        <v>-66.7</v>
      </c>
      <c r="S17" s="88">
        <v>0.0014749280335682896</v>
      </c>
      <c r="T17" s="89">
        <v>0</v>
      </c>
      <c r="U17" s="89">
        <v>0</v>
      </c>
      <c r="V17" s="89">
        <v>0</v>
      </c>
      <c r="W17" s="90">
        <v>0</v>
      </c>
    </row>
    <row r="18" spans="1:23" s="145" customFormat="1" ht="57.75" customHeight="1">
      <c r="A18" s="144" t="s">
        <v>126</v>
      </c>
      <c r="B18" s="33">
        <v>13030200</v>
      </c>
      <c r="C18" s="8">
        <v>49.4</v>
      </c>
      <c r="D18" s="8">
        <v>38</v>
      </c>
      <c r="E18" s="36">
        <v>-27</v>
      </c>
      <c r="F18" s="36">
        <v>28.947368421052634</v>
      </c>
      <c r="G18" s="8">
        <v>101.1</v>
      </c>
      <c r="H18" s="3">
        <v>59</v>
      </c>
      <c r="I18" s="219">
        <v>59</v>
      </c>
      <c r="J18" s="8">
        <v>77.7</v>
      </c>
      <c r="K18" s="217">
        <v>77.7</v>
      </c>
      <c r="L18" s="8">
        <v>11</v>
      </c>
      <c r="M18" s="3">
        <v>1.8000000000000007</v>
      </c>
      <c r="N18" s="36">
        <v>10.880316518298715</v>
      </c>
      <c r="O18" s="36">
        <v>18.64406779661017</v>
      </c>
      <c r="P18" s="36">
        <v>14.157014157014155</v>
      </c>
      <c r="Q18" s="36">
        <v>-48</v>
      </c>
      <c r="R18" s="36">
        <v>-66.7</v>
      </c>
      <c r="S18" s="88">
        <v>0.0014749280335682896</v>
      </c>
      <c r="T18" s="89">
        <v>0</v>
      </c>
      <c r="U18" s="89">
        <v>0</v>
      </c>
      <c r="V18" s="89">
        <v>0</v>
      </c>
      <c r="W18" s="90">
        <v>0</v>
      </c>
    </row>
    <row r="19" spans="1:23" s="150" customFormat="1" ht="30.75" customHeight="1">
      <c r="A19" s="149" t="s">
        <v>130</v>
      </c>
      <c r="B19" s="55">
        <v>14000000</v>
      </c>
      <c r="C19" s="9">
        <v>107653.9</v>
      </c>
      <c r="D19" s="9">
        <v>59526.8</v>
      </c>
      <c r="E19" s="6">
        <v>4700.799999999988</v>
      </c>
      <c r="F19" s="6">
        <v>107.89694725736977</v>
      </c>
      <c r="G19" s="9">
        <v>136672.30000000002</v>
      </c>
      <c r="H19" s="9">
        <v>79725.5</v>
      </c>
      <c r="I19" s="205">
        <v>79725.5</v>
      </c>
      <c r="J19" s="9">
        <v>74632.4</v>
      </c>
      <c r="K19" s="205">
        <v>74632.4</v>
      </c>
      <c r="L19" s="9">
        <v>64227.59999999999</v>
      </c>
      <c r="M19" s="9">
        <v>6207.299999999997</v>
      </c>
      <c r="N19" s="6">
        <v>46.993867813741325</v>
      </c>
      <c r="O19" s="6">
        <v>80.56092467278347</v>
      </c>
      <c r="P19" s="6">
        <v>86.05860189408354</v>
      </c>
      <c r="Q19" s="6">
        <v>-15497.900000000009</v>
      </c>
      <c r="R19" s="6">
        <v>-10404.800000000003</v>
      </c>
      <c r="S19" s="88">
        <v>8.611917069891879</v>
      </c>
      <c r="T19" s="89">
        <v>0</v>
      </c>
      <c r="U19" s="89">
        <v>0</v>
      </c>
      <c r="V19" s="89">
        <v>0</v>
      </c>
      <c r="W19" s="90">
        <v>0</v>
      </c>
    </row>
    <row r="20" spans="1:23" s="152" customFormat="1" ht="30.75" customHeight="1">
      <c r="A20" s="26" t="s">
        <v>288</v>
      </c>
      <c r="B20" s="30">
        <v>14021900</v>
      </c>
      <c r="C20" s="3"/>
      <c r="D20" s="3"/>
      <c r="E20" s="25">
        <v>4863.7</v>
      </c>
      <c r="F20" s="14" t="e">
        <v>#DIV/0!</v>
      </c>
      <c r="G20" s="3">
        <v>27936.15</v>
      </c>
      <c r="H20" s="3">
        <v>16296.1</v>
      </c>
      <c r="I20" s="219">
        <v>16296.1</v>
      </c>
      <c r="J20" s="3">
        <v>12540.7</v>
      </c>
      <c r="K20" s="216">
        <v>12540.7</v>
      </c>
      <c r="L20" s="3">
        <v>4863.7</v>
      </c>
      <c r="M20" s="3">
        <v>190.89999999999964</v>
      </c>
      <c r="N20" s="25">
        <v>17.41005829364461</v>
      </c>
      <c r="O20" s="25">
        <v>29.84579132430459</v>
      </c>
      <c r="P20" s="25">
        <v>38.78332150517914</v>
      </c>
      <c r="Q20" s="25">
        <v>-11432.400000000001</v>
      </c>
      <c r="R20" s="25">
        <v>-7677.000000000001</v>
      </c>
      <c r="S20" s="151"/>
      <c r="T20" s="18"/>
      <c r="U20" s="18"/>
      <c r="V20" s="18"/>
      <c r="W20" s="142"/>
    </row>
    <row r="21" spans="1:23" s="152" customFormat="1" ht="48" customHeight="1">
      <c r="A21" s="26" t="s">
        <v>289</v>
      </c>
      <c r="B21" s="30">
        <v>14031900</v>
      </c>
      <c r="C21" s="3"/>
      <c r="D21" s="3"/>
      <c r="E21" s="25">
        <v>17821.8</v>
      </c>
      <c r="F21" s="14" t="e">
        <v>#DIV/0!</v>
      </c>
      <c r="G21" s="3">
        <v>35231.450000000004</v>
      </c>
      <c r="H21" s="3">
        <v>20551.7</v>
      </c>
      <c r="I21" s="219">
        <v>20551.7</v>
      </c>
      <c r="J21" s="3">
        <v>19836</v>
      </c>
      <c r="K21" s="216">
        <v>19836</v>
      </c>
      <c r="L21" s="3">
        <v>17821.8</v>
      </c>
      <c r="M21" s="3">
        <v>131.39999999999782</v>
      </c>
      <c r="N21" s="25">
        <v>50.58491773685159</v>
      </c>
      <c r="O21" s="25">
        <v>86.71691392926132</v>
      </c>
      <c r="P21" s="25">
        <v>89.84573502722323</v>
      </c>
      <c r="Q21" s="25">
        <v>-2729.9000000000015</v>
      </c>
      <c r="R21" s="25">
        <v>-2014.2000000000007</v>
      </c>
      <c r="S21" s="151"/>
      <c r="T21" s="18"/>
      <c r="U21" s="18"/>
      <c r="V21" s="18"/>
      <c r="W21" s="142"/>
    </row>
    <row r="22" spans="1:23" s="91" customFormat="1" ht="51" customHeight="1">
      <c r="A22" s="58" t="s">
        <v>131</v>
      </c>
      <c r="B22" s="27">
        <v>14040000</v>
      </c>
      <c r="C22" s="3">
        <v>107653.9</v>
      </c>
      <c r="D22" s="3">
        <v>59526.8</v>
      </c>
      <c r="E22" s="25">
        <v>-17984.700000000004</v>
      </c>
      <c r="F22" s="25">
        <v>69.78722188997224</v>
      </c>
      <c r="G22" s="3">
        <v>73504.7</v>
      </c>
      <c r="H22" s="3">
        <v>42877.7</v>
      </c>
      <c r="I22" s="219">
        <v>42877.7</v>
      </c>
      <c r="J22" s="3">
        <v>42255.7</v>
      </c>
      <c r="K22" s="216">
        <v>42255.7</v>
      </c>
      <c r="L22" s="3">
        <v>41542.1</v>
      </c>
      <c r="M22" s="3">
        <v>5885</v>
      </c>
      <c r="N22" s="25">
        <v>56.51624998129371</v>
      </c>
      <c r="O22" s="25">
        <v>96.88509411652211</v>
      </c>
      <c r="P22" s="25">
        <v>98.31123375071293</v>
      </c>
      <c r="Q22" s="25">
        <v>-1335.5999999999985</v>
      </c>
      <c r="R22" s="25">
        <v>-713.5999999999985</v>
      </c>
      <c r="S22" s="88">
        <v>5.570146169390658</v>
      </c>
      <c r="T22" s="89">
        <v>0</v>
      </c>
      <c r="U22" s="89">
        <v>0</v>
      </c>
      <c r="V22" s="89">
        <v>0</v>
      </c>
      <c r="W22" s="90">
        <v>0</v>
      </c>
    </row>
    <row r="23" spans="1:23" s="147" customFormat="1" ht="35.25" customHeight="1">
      <c r="A23" s="153" t="s">
        <v>70</v>
      </c>
      <c r="B23" s="55">
        <v>16010000</v>
      </c>
      <c r="C23" s="3"/>
      <c r="D23" s="3">
        <v>0.19069</v>
      </c>
      <c r="E23" s="25">
        <v>-0.19069</v>
      </c>
      <c r="F23" s="14">
        <v>0</v>
      </c>
      <c r="G23" s="9"/>
      <c r="H23" s="9">
        <v>0</v>
      </c>
      <c r="I23" s="205">
        <v>0</v>
      </c>
      <c r="J23" s="9"/>
      <c r="K23" s="205"/>
      <c r="L23" s="9"/>
      <c r="M23" s="3"/>
      <c r="N23" s="50" t="e">
        <v>#DIV/0!</v>
      </c>
      <c r="O23" s="50" t="e">
        <v>#DIV/0!</v>
      </c>
      <c r="P23" s="50" t="e">
        <v>#DIV/0!</v>
      </c>
      <c r="Q23" s="6">
        <v>0</v>
      </c>
      <c r="R23" s="6">
        <v>0</v>
      </c>
      <c r="S23" s="88">
        <v>0</v>
      </c>
      <c r="T23" s="89">
        <v>0</v>
      </c>
      <c r="U23" s="89" t="e">
        <v>#DIV/0!</v>
      </c>
      <c r="V23" s="89" t="e">
        <v>#DIV/0!</v>
      </c>
      <c r="W23" s="90" t="e">
        <v>#DIV/0!</v>
      </c>
    </row>
    <row r="24" spans="1:23" s="92" customFormat="1" ht="42.75" customHeight="1" hidden="1">
      <c r="A24" s="154" t="s">
        <v>71</v>
      </c>
      <c r="B24" s="33">
        <v>16010400</v>
      </c>
      <c r="C24" s="3"/>
      <c r="D24" s="3"/>
      <c r="E24" s="6">
        <v>0</v>
      </c>
      <c r="F24" s="6" t="e">
        <v>#DIV/0!</v>
      </c>
      <c r="G24" s="3"/>
      <c r="H24" s="3"/>
      <c r="I24" s="216"/>
      <c r="J24" s="3"/>
      <c r="K24" s="216"/>
      <c r="L24" s="3"/>
      <c r="M24" s="3"/>
      <c r="N24" s="25" t="e">
        <v>#DIV/0!</v>
      </c>
      <c r="O24" s="6" t="e">
        <v>#DIV/0!</v>
      </c>
      <c r="P24" s="25" t="e">
        <v>#DIV/0!</v>
      </c>
      <c r="Q24" s="6">
        <v>0</v>
      </c>
      <c r="R24" s="6">
        <v>0</v>
      </c>
      <c r="S24" s="88">
        <v>0</v>
      </c>
      <c r="T24" s="89">
        <v>0</v>
      </c>
      <c r="U24" s="89" t="e">
        <v>#DIV/0!</v>
      </c>
      <c r="V24" s="89" t="e">
        <v>#DIV/0!</v>
      </c>
      <c r="W24" s="90" t="e">
        <v>#DIV/0!</v>
      </c>
    </row>
    <row r="25" spans="1:23" s="155" customFormat="1" ht="42.75" customHeight="1" hidden="1">
      <c r="A25" s="29" t="s">
        <v>72</v>
      </c>
      <c r="B25" s="30">
        <v>14060100</v>
      </c>
      <c r="C25" s="8">
        <v>0</v>
      </c>
      <c r="D25" s="3"/>
      <c r="E25" s="6">
        <v>0</v>
      </c>
      <c r="F25" s="6" t="e">
        <v>#DIV/0!</v>
      </c>
      <c r="G25" s="8"/>
      <c r="H25" s="8">
        <v>0</v>
      </c>
      <c r="I25" s="217"/>
      <c r="J25" s="8"/>
      <c r="K25" s="217"/>
      <c r="L25" s="8">
        <v>0</v>
      </c>
      <c r="M25" s="3"/>
      <c r="N25" s="36" t="e">
        <v>#DIV/0!</v>
      </c>
      <c r="O25" s="6" t="e">
        <v>#DIV/0!</v>
      </c>
      <c r="P25" s="36" t="e">
        <v>#DIV/0!</v>
      </c>
      <c r="Q25" s="6">
        <v>0</v>
      </c>
      <c r="R25" s="6">
        <v>0</v>
      </c>
      <c r="S25" s="88">
        <v>0</v>
      </c>
      <c r="T25" s="89">
        <v>0</v>
      </c>
      <c r="U25" s="89" t="e">
        <v>#DIV/0!</v>
      </c>
      <c r="V25" s="89" t="e">
        <v>#DIV/0!</v>
      </c>
      <c r="W25" s="90" t="e">
        <v>#DIV/0!</v>
      </c>
    </row>
    <row r="26" spans="1:23" s="147" customFormat="1" ht="17.25" customHeight="1">
      <c r="A26" s="153" t="s">
        <v>127</v>
      </c>
      <c r="B26" s="55">
        <v>18000000</v>
      </c>
      <c r="C26" s="9">
        <v>275625.1</v>
      </c>
      <c r="D26" s="9">
        <v>153121.10000000003</v>
      </c>
      <c r="E26" s="6">
        <v>31865.29999999993</v>
      </c>
      <c r="F26" s="6">
        <v>120.81052186798549</v>
      </c>
      <c r="G26" s="9">
        <v>317545.60000000003</v>
      </c>
      <c r="H26" s="9">
        <v>185234.90000000002</v>
      </c>
      <c r="I26" s="205">
        <v>185234.90000000002</v>
      </c>
      <c r="J26" s="9">
        <v>184486.00000000006</v>
      </c>
      <c r="K26" s="205">
        <v>184486.00000000006</v>
      </c>
      <c r="L26" s="9">
        <v>184986.39999999997</v>
      </c>
      <c r="M26" s="9">
        <v>27114.000000000007</v>
      </c>
      <c r="N26" s="6">
        <v>58.25506635897331</v>
      </c>
      <c r="O26" s="6">
        <v>99.86584601497879</v>
      </c>
      <c r="P26" s="6">
        <v>100.27124009409923</v>
      </c>
      <c r="Q26" s="6">
        <v>-248.5000000000582</v>
      </c>
      <c r="R26" s="6">
        <v>500.39999999990687</v>
      </c>
      <c r="S26" s="88">
        <v>24.80378428989791</v>
      </c>
      <c r="T26" s="89">
        <v>0</v>
      </c>
      <c r="U26" s="89">
        <v>0</v>
      </c>
      <c r="V26" s="89">
        <v>0</v>
      </c>
      <c r="W26" s="90">
        <v>0</v>
      </c>
    </row>
    <row r="27" spans="1:23" s="91" customFormat="1" ht="29.25" customHeight="1">
      <c r="A27" s="154" t="s">
        <v>132</v>
      </c>
      <c r="B27" s="30">
        <v>18010000</v>
      </c>
      <c r="C27" s="3">
        <v>157722.4</v>
      </c>
      <c r="D27" s="3">
        <v>91633.3</v>
      </c>
      <c r="E27" s="25">
        <v>7544.399999999994</v>
      </c>
      <c r="F27" s="25">
        <v>108.23325144898197</v>
      </c>
      <c r="G27" s="3">
        <v>173612.2</v>
      </c>
      <c r="H27" s="3">
        <v>101273.79999999999</v>
      </c>
      <c r="I27" s="216">
        <v>101273.79999999999</v>
      </c>
      <c r="J27" s="3">
        <v>101353.09999999999</v>
      </c>
      <c r="K27" s="216">
        <v>101353.09999999999</v>
      </c>
      <c r="L27" s="3">
        <v>99177.7</v>
      </c>
      <c r="M27" s="3">
        <v>15529.299999999988</v>
      </c>
      <c r="N27" s="25">
        <v>57.1259969057474</v>
      </c>
      <c r="O27" s="25">
        <v>97.9302642934303</v>
      </c>
      <c r="P27" s="25">
        <v>97.85364236515707</v>
      </c>
      <c r="Q27" s="25">
        <v>-2096.0999999999913</v>
      </c>
      <c r="R27" s="25">
        <v>-2175.399999999994</v>
      </c>
      <c r="S27" s="88">
        <v>13.298179094075069</v>
      </c>
      <c r="T27" s="89">
        <v>0</v>
      </c>
      <c r="U27" s="89">
        <v>0</v>
      </c>
      <c r="V27" s="89">
        <v>0</v>
      </c>
      <c r="W27" s="90">
        <v>0</v>
      </c>
    </row>
    <row r="28" spans="1:23" s="91" customFormat="1" ht="71.25" customHeight="1">
      <c r="A28" s="154" t="s">
        <v>133</v>
      </c>
      <c r="B28" s="156" t="s">
        <v>298</v>
      </c>
      <c r="C28" s="3">
        <v>5722.6</v>
      </c>
      <c r="D28" s="3">
        <v>3676.2</v>
      </c>
      <c r="E28" s="25">
        <v>253</v>
      </c>
      <c r="F28" s="25">
        <v>106.8821065230401</v>
      </c>
      <c r="G28" s="3">
        <v>6427.7</v>
      </c>
      <c r="H28" s="3">
        <v>3749.5</v>
      </c>
      <c r="I28" s="219">
        <v>3749.5</v>
      </c>
      <c r="J28" s="3">
        <v>4548.7</v>
      </c>
      <c r="K28" s="216">
        <v>4548.7</v>
      </c>
      <c r="L28" s="3">
        <v>3929.2</v>
      </c>
      <c r="M28" s="3">
        <v>1208.1</v>
      </c>
      <c r="N28" s="25">
        <v>61.12917528820573</v>
      </c>
      <c r="O28" s="25">
        <v>104.7926390185358</v>
      </c>
      <c r="P28" s="25">
        <v>86.38072416294766</v>
      </c>
      <c r="Q28" s="25">
        <v>179.69999999999982</v>
      </c>
      <c r="R28" s="25">
        <v>-619.5</v>
      </c>
      <c r="S28" s="88">
        <v>0.526844293590593</v>
      </c>
      <c r="T28" s="89">
        <v>0</v>
      </c>
      <c r="U28" s="89">
        <v>0</v>
      </c>
      <c r="V28" s="89">
        <v>0</v>
      </c>
      <c r="W28" s="90">
        <v>0</v>
      </c>
    </row>
    <row r="29" spans="1:23" s="91" customFormat="1" ht="67.5" customHeight="1">
      <c r="A29" s="154" t="s">
        <v>134</v>
      </c>
      <c r="B29" s="30" t="s">
        <v>135</v>
      </c>
      <c r="C29" s="3">
        <v>151116.4</v>
      </c>
      <c r="D29" s="3">
        <v>87382.6</v>
      </c>
      <c r="E29" s="25">
        <v>7214.899999999994</v>
      </c>
      <c r="F29" s="25">
        <v>108.25667810296329</v>
      </c>
      <c r="G29" s="3">
        <v>166595</v>
      </c>
      <c r="H29" s="3">
        <v>97180.4</v>
      </c>
      <c r="I29" s="219">
        <v>97180.4</v>
      </c>
      <c r="J29" s="3">
        <v>96461.7</v>
      </c>
      <c r="K29" s="216">
        <v>96461.7</v>
      </c>
      <c r="L29" s="3">
        <v>94597.5</v>
      </c>
      <c r="M29" s="3">
        <v>14102.100000000006</v>
      </c>
      <c r="N29" s="25">
        <v>56.78291665416128</v>
      </c>
      <c r="O29" s="25">
        <v>97.34215953011102</v>
      </c>
      <c r="P29" s="25">
        <v>98.0674195043214</v>
      </c>
      <c r="Q29" s="25">
        <v>-2582.899999999994</v>
      </c>
      <c r="R29" s="25">
        <v>-1864.199999999997</v>
      </c>
      <c r="S29" s="88">
        <v>12.684045877770572</v>
      </c>
      <c r="T29" s="89">
        <v>0</v>
      </c>
      <c r="U29" s="89">
        <v>0</v>
      </c>
      <c r="V29" s="89">
        <v>0</v>
      </c>
      <c r="W29" s="90">
        <v>0</v>
      </c>
    </row>
    <row r="30" spans="1:23" s="91" customFormat="1" ht="30.75" customHeight="1">
      <c r="A30" s="154" t="s">
        <v>147</v>
      </c>
      <c r="B30" s="30">
        <v>18011000</v>
      </c>
      <c r="C30" s="3">
        <v>254.5</v>
      </c>
      <c r="D30" s="3">
        <v>149</v>
      </c>
      <c r="E30" s="25">
        <v>149.2</v>
      </c>
      <c r="F30" s="25">
        <v>200.13422818791943</v>
      </c>
      <c r="G30" s="3">
        <v>350</v>
      </c>
      <c r="H30" s="3">
        <v>204.2</v>
      </c>
      <c r="I30" s="219">
        <v>204.2</v>
      </c>
      <c r="J30" s="3">
        <v>175</v>
      </c>
      <c r="K30" s="216">
        <v>175</v>
      </c>
      <c r="L30" s="3">
        <v>298.2</v>
      </c>
      <c r="M30" s="3">
        <v>158.39999999999998</v>
      </c>
      <c r="N30" s="25">
        <v>85.2</v>
      </c>
      <c r="O30" s="25">
        <v>146.03330068560237</v>
      </c>
      <c r="P30" s="25">
        <v>170.4</v>
      </c>
      <c r="Q30" s="25">
        <v>94</v>
      </c>
      <c r="R30" s="25">
        <v>123.19999999999999</v>
      </c>
      <c r="S30" s="88">
        <v>0.03998395814636945</v>
      </c>
      <c r="T30" s="89">
        <v>0</v>
      </c>
      <c r="U30" s="89">
        <v>0</v>
      </c>
      <c r="V30" s="89">
        <v>0</v>
      </c>
      <c r="W30" s="90">
        <v>0</v>
      </c>
    </row>
    <row r="31" spans="1:23" s="91" customFormat="1" ht="37.5" customHeight="1">
      <c r="A31" s="154" t="s">
        <v>146</v>
      </c>
      <c r="B31" s="30">
        <v>18011100</v>
      </c>
      <c r="C31" s="3">
        <v>628.9</v>
      </c>
      <c r="D31" s="3">
        <v>425.5</v>
      </c>
      <c r="E31" s="25">
        <v>-72.69999999999999</v>
      </c>
      <c r="F31" s="25">
        <v>82.91421856639248</v>
      </c>
      <c r="G31" s="3">
        <v>239.5</v>
      </c>
      <c r="H31" s="3">
        <v>139.7</v>
      </c>
      <c r="I31" s="219">
        <v>139.7</v>
      </c>
      <c r="J31" s="3">
        <v>167.7</v>
      </c>
      <c r="K31" s="216">
        <v>167.7</v>
      </c>
      <c r="L31" s="3">
        <v>352.8</v>
      </c>
      <c r="M31" s="3">
        <v>60.69999999999999</v>
      </c>
      <c r="N31" s="25">
        <v>147.30688935281836</v>
      </c>
      <c r="O31" s="25">
        <v>252.54115962777382</v>
      </c>
      <c r="P31" s="25">
        <v>210.3756708407871</v>
      </c>
      <c r="Q31" s="25">
        <v>213.10000000000002</v>
      </c>
      <c r="R31" s="25">
        <v>185.10000000000002</v>
      </c>
      <c r="S31" s="88">
        <v>0.04730496456753569</v>
      </c>
      <c r="T31" s="89">
        <v>0</v>
      </c>
      <c r="U31" s="89">
        <v>0</v>
      </c>
      <c r="V31" s="89">
        <v>0</v>
      </c>
      <c r="W31" s="90">
        <v>0</v>
      </c>
    </row>
    <row r="32" spans="1:23" s="91" customFormat="1" ht="20.25" customHeight="1">
      <c r="A32" s="154" t="s">
        <v>74</v>
      </c>
      <c r="B32" s="30">
        <v>18030000</v>
      </c>
      <c r="C32" s="3">
        <v>146.6</v>
      </c>
      <c r="D32" s="3">
        <v>82</v>
      </c>
      <c r="E32" s="25">
        <v>36.8</v>
      </c>
      <c r="F32" s="25">
        <v>144.8780487804878</v>
      </c>
      <c r="G32" s="3">
        <v>130</v>
      </c>
      <c r="H32" s="3">
        <v>75.8</v>
      </c>
      <c r="I32" s="219">
        <v>75.8</v>
      </c>
      <c r="J32" s="3">
        <v>73.6</v>
      </c>
      <c r="K32" s="216">
        <v>73.6</v>
      </c>
      <c r="L32" s="3">
        <v>118.8</v>
      </c>
      <c r="M32" s="3">
        <v>21.200000000000003</v>
      </c>
      <c r="N32" s="25">
        <v>91.38461538461539</v>
      </c>
      <c r="O32" s="25">
        <v>156.72823218997362</v>
      </c>
      <c r="P32" s="25">
        <v>161.41304347826087</v>
      </c>
      <c r="Q32" s="25">
        <v>43</v>
      </c>
      <c r="R32" s="25">
        <v>45.2</v>
      </c>
      <c r="S32" s="88">
        <v>0.01592922276253753</v>
      </c>
      <c r="T32" s="89">
        <v>0</v>
      </c>
      <c r="U32" s="89">
        <v>0</v>
      </c>
      <c r="V32" s="89">
        <v>0</v>
      </c>
      <c r="W32" s="90">
        <v>0</v>
      </c>
    </row>
    <row r="33" spans="1:23" s="91" customFormat="1" ht="49.5" customHeight="1">
      <c r="A33" s="154" t="s">
        <v>128</v>
      </c>
      <c r="B33" s="30" t="s">
        <v>75</v>
      </c>
      <c r="C33" s="3">
        <v>-149.8</v>
      </c>
      <c r="D33" s="3">
        <v>-135.8</v>
      </c>
      <c r="E33" s="25">
        <v>103.60000000000001</v>
      </c>
      <c r="F33" s="25">
        <v>23.711340206185564</v>
      </c>
      <c r="G33" s="3"/>
      <c r="H33" s="3">
        <v>0</v>
      </c>
      <c r="I33" s="216">
        <v>0</v>
      </c>
      <c r="J33" s="3"/>
      <c r="K33" s="216"/>
      <c r="L33" s="3">
        <v>-32.2</v>
      </c>
      <c r="M33" s="3">
        <v>-1.0000000000000036</v>
      </c>
      <c r="N33" s="14" t="e">
        <v>#DIV/0!</v>
      </c>
      <c r="O33" s="14" t="e">
        <v>#DIV/0!</v>
      </c>
      <c r="P33" s="14" t="e">
        <v>#DIV/0!</v>
      </c>
      <c r="Q33" s="25">
        <v>-32.2</v>
      </c>
      <c r="R33" s="25">
        <v>-32.2</v>
      </c>
      <c r="S33" s="88">
        <v>-0.004317516607354448</v>
      </c>
      <c r="T33" s="89">
        <v>0</v>
      </c>
      <c r="U33" s="89" t="e">
        <v>#DIV/0!</v>
      </c>
      <c r="V33" s="89" t="e">
        <v>#DIV/0!</v>
      </c>
      <c r="W33" s="90" t="e">
        <v>#DIV/0!</v>
      </c>
    </row>
    <row r="34" spans="1:23" s="91" customFormat="1" ht="24.75" customHeight="1">
      <c r="A34" s="154" t="s">
        <v>136</v>
      </c>
      <c r="B34" s="30">
        <v>18050000</v>
      </c>
      <c r="C34" s="3">
        <v>117905.9</v>
      </c>
      <c r="D34" s="3">
        <v>61541.6</v>
      </c>
      <c r="E34" s="25">
        <v>24180.500000000007</v>
      </c>
      <c r="F34" s="25">
        <v>139.2913086432592</v>
      </c>
      <c r="G34" s="3">
        <v>143803.4</v>
      </c>
      <c r="H34" s="3">
        <v>83885.3</v>
      </c>
      <c r="I34" s="219">
        <v>83885.3</v>
      </c>
      <c r="J34" s="3">
        <v>83059.3</v>
      </c>
      <c r="K34" s="216">
        <v>83059.3</v>
      </c>
      <c r="L34" s="3">
        <v>85722.1</v>
      </c>
      <c r="M34" s="3">
        <v>11564.5</v>
      </c>
      <c r="N34" s="25">
        <v>59.610621167510644</v>
      </c>
      <c r="O34" s="25">
        <v>102.18965659060646</v>
      </c>
      <c r="P34" s="25">
        <v>103.20590228908743</v>
      </c>
      <c r="Q34" s="25">
        <v>1836.800000000003</v>
      </c>
      <c r="R34" s="25">
        <v>2662.800000000003</v>
      </c>
      <c r="S34" s="88">
        <v>11.493993489667663</v>
      </c>
      <c r="T34" s="89">
        <v>0</v>
      </c>
      <c r="U34" s="89">
        <v>0</v>
      </c>
      <c r="V34" s="89">
        <v>0</v>
      </c>
      <c r="W34" s="90">
        <v>0</v>
      </c>
    </row>
    <row r="35" spans="1:23" s="147" customFormat="1" ht="23.25" customHeight="1">
      <c r="A35" s="149" t="s">
        <v>77</v>
      </c>
      <c r="B35" s="43">
        <v>20000000</v>
      </c>
      <c r="C35" s="9">
        <v>70776.9</v>
      </c>
      <c r="D35" s="9">
        <v>32104.3</v>
      </c>
      <c r="E35" s="6">
        <v>11160.899999999998</v>
      </c>
      <c r="F35" s="6">
        <v>134.76450195145196</v>
      </c>
      <c r="G35" s="9">
        <v>58120</v>
      </c>
      <c r="H35" s="9">
        <v>33903.4</v>
      </c>
      <c r="I35" s="205">
        <v>33903.4</v>
      </c>
      <c r="J35" s="9">
        <v>38282.50000000001</v>
      </c>
      <c r="K35" s="205">
        <v>38282.50000000001</v>
      </c>
      <c r="L35" s="9">
        <v>43265.2</v>
      </c>
      <c r="M35" s="9">
        <v>7720.899999999998</v>
      </c>
      <c r="N35" s="9">
        <v>74.44115622849277</v>
      </c>
      <c r="O35" s="6">
        <v>127.61315974209076</v>
      </c>
      <c r="P35" s="9">
        <v>113.01560765362761</v>
      </c>
      <c r="Q35" s="6">
        <v>9361.799999999996</v>
      </c>
      <c r="R35" s="6">
        <v>4982.69999999999</v>
      </c>
      <c r="S35" s="88">
        <v>5.801186941630797</v>
      </c>
      <c r="T35" s="89">
        <v>0</v>
      </c>
      <c r="U35" s="89">
        <v>0</v>
      </c>
      <c r="V35" s="89">
        <v>0</v>
      </c>
      <c r="W35" s="90">
        <v>0</v>
      </c>
    </row>
    <row r="36" spans="1:23" s="147" customFormat="1" ht="39" customHeight="1">
      <c r="A36" s="149" t="s">
        <v>78</v>
      </c>
      <c r="B36" s="43">
        <v>21000000</v>
      </c>
      <c r="C36" s="9">
        <v>33551.700000000004</v>
      </c>
      <c r="D36" s="9">
        <v>9660.499999999998</v>
      </c>
      <c r="E36" s="6">
        <v>11446.699999999999</v>
      </c>
      <c r="F36" s="6">
        <v>218.4897262046478</v>
      </c>
      <c r="G36" s="9">
        <v>24252.8</v>
      </c>
      <c r="H36" s="9">
        <v>14147.4</v>
      </c>
      <c r="I36" s="205">
        <v>14147.4</v>
      </c>
      <c r="J36" s="9">
        <v>19267.7</v>
      </c>
      <c r="K36" s="205">
        <v>19267.7</v>
      </c>
      <c r="L36" s="9">
        <v>21107.199999999997</v>
      </c>
      <c r="M36" s="9">
        <v>3847.0999999999995</v>
      </c>
      <c r="N36" s="9">
        <v>87.02995118089457</v>
      </c>
      <c r="O36" s="6">
        <v>149.19490507089643</v>
      </c>
      <c r="P36" s="9">
        <v>109.54706581480922</v>
      </c>
      <c r="Q36" s="6">
        <v>6959.799999999997</v>
      </c>
      <c r="R36" s="6">
        <v>1839.4999999999964</v>
      </c>
      <c r="S36" s="88">
        <v>2.830145544557509</v>
      </c>
      <c r="T36" s="89">
        <v>0</v>
      </c>
      <c r="U36" s="89">
        <v>0</v>
      </c>
      <c r="V36" s="89">
        <v>0</v>
      </c>
      <c r="W36" s="90">
        <v>0</v>
      </c>
    </row>
    <row r="37" spans="1:23" s="91" customFormat="1" ht="124.5" customHeight="1">
      <c r="A37" s="26" t="s">
        <v>164</v>
      </c>
      <c r="B37" s="27">
        <v>21010000</v>
      </c>
      <c r="C37" s="3">
        <v>92.8</v>
      </c>
      <c r="D37" s="3">
        <v>53.9</v>
      </c>
      <c r="E37" s="25">
        <v>-13.600000000000001</v>
      </c>
      <c r="F37" s="25">
        <v>74.76808905380334</v>
      </c>
      <c r="G37" s="3">
        <v>100.8</v>
      </c>
      <c r="H37" s="3">
        <v>58.8</v>
      </c>
      <c r="I37" s="216">
        <v>58.8</v>
      </c>
      <c r="J37" s="3">
        <v>59.5</v>
      </c>
      <c r="K37" s="216">
        <v>59.5</v>
      </c>
      <c r="L37" s="3">
        <v>40.3</v>
      </c>
      <c r="M37" s="3">
        <v>1.7999999999999972</v>
      </c>
      <c r="N37" s="3">
        <v>39.98015873015873</v>
      </c>
      <c r="O37" s="25">
        <v>68.5374149659864</v>
      </c>
      <c r="P37" s="3">
        <v>67.73109243697478</v>
      </c>
      <c r="Q37" s="25">
        <v>-18.5</v>
      </c>
      <c r="R37" s="25">
        <v>-19.200000000000003</v>
      </c>
      <c r="S37" s="88">
        <v>0.00540359997752746</v>
      </c>
      <c r="T37" s="89">
        <v>0</v>
      </c>
      <c r="U37" s="89">
        <v>0</v>
      </c>
      <c r="V37" s="89">
        <v>0</v>
      </c>
      <c r="W37" s="90">
        <v>0</v>
      </c>
    </row>
    <row r="38" spans="1:23" s="158" customFormat="1" ht="66" customHeight="1">
      <c r="A38" s="59" t="s">
        <v>107</v>
      </c>
      <c r="B38" s="157">
        <v>21010300</v>
      </c>
      <c r="C38" s="8">
        <v>92.8</v>
      </c>
      <c r="D38" s="8">
        <v>53.9</v>
      </c>
      <c r="E38" s="36">
        <v>-13.600000000000001</v>
      </c>
      <c r="F38" s="36">
        <v>74.76808905380334</v>
      </c>
      <c r="G38" s="8">
        <v>100.8</v>
      </c>
      <c r="H38" s="3">
        <v>58.8</v>
      </c>
      <c r="I38" s="219">
        <v>58.8</v>
      </c>
      <c r="J38" s="8">
        <v>59.5</v>
      </c>
      <c r="K38" s="217">
        <v>59.5</v>
      </c>
      <c r="L38" s="8">
        <v>40.3</v>
      </c>
      <c r="M38" s="3">
        <v>1.7999999999999972</v>
      </c>
      <c r="N38" s="8">
        <v>39.98015873015873</v>
      </c>
      <c r="O38" s="36">
        <v>68.5374149659864</v>
      </c>
      <c r="P38" s="8">
        <v>67.73109243697478</v>
      </c>
      <c r="Q38" s="36">
        <v>-18.5</v>
      </c>
      <c r="R38" s="36">
        <v>-19.200000000000003</v>
      </c>
      <c r="S38" s="88">
        <v>0.00540359997752746</v>
      </c>
      <c r="T38" s="240">
        <v>57.599999999999994</v>
      </c>
      <c r="U38" s="89">
        <v>0</v>
      </c>
      <c r="V38" s="89">
        <v>0</v>
      </c>
      <c r="W38" s="90">
        <v>0</v>
      </c>
    </row>
    <row r="39" spans="1:23" s="147" customFormat="1" ht="41.25" customHeight="1">
      <c r="A39" s="61" t="s">
        <v>79</v>
      </c>
      <c r="B39" s="55">
        <v>21050000</v>
      </c>
      <c r="C39" s="9">
        <v>32934.5</v>
      </c>
      <c r="D39" s="9">
        <v>9341.3</v>
      </c>
      <c r="E39" s="6">
        <v>11320</v>
      </c>
      <c r="F39" s="6">
        <v>221.18227655679615</v>
      </c>
      <c r="G39" s="9">
        <v>23591.9</v>
      </c>
      <c r="H39" s="9">
        <v>13761.9</v>
      </c>
      <c r="I39" s="205">
        <v>13761.9</v>
      </c>
      <c r="J39" s="9">
        <v>18891.5</v>
      </c>
      <c r="K39" s="205">
        <v>18891.5</v>
      </c>
      <c r="L39" s="9">
        <v>20661.3</v>
      </c>
      <c r="M39" s="9">
        <v>3791.7999999999993</v>
      </c>
      <c r="N39" s="6">
        <v>87.57793988614736</v>
      </c>
      <c r="O39" s="6">
        <v>150.1340657903342</v>
      </c>
      <c r="P39" s="6">
        <v>109.36823439112828</v>
      </c>
      <c r="Q39" s="6">
        <v>6899.4</v>
      </c>
      <c r="R39" s="6">
        <v>1769.7999999999993</v>
      </c>
      <c r="S39" s="88">
        <v>2.7703573254513185</v>
      </c>
      <c r="T39" s="240">
        <v>13481.085714285717</v>
      </c>
      <c r="U39" s="89">
        <v>0</v>
      </c>
      <c r="V39" s="89">
        <v>0</v>
      </c>
      <c r="W39" s="90">
        <v>0</v>
      </c>
    </row>
    <row r="40" spans="1:23" s="91" customFormat="1" ht="23.25" customHeight="1">
      <c r="A40" s="29" t="s">
        <v>80</v>
      </c>
      <c r="B40" s="30">
        <v>21080000</v>
      </c>
      <c r="C40" s="3">
        <v>524.4</v>
      </c>
      <c r="D40" s="3">
        <v>265.3</v>
      </c>
      <c r="E40" s="25">
        <v>140.3</v>
      </c>
      <c r="F40" s="25">
        <v>152.88352808141727</v>
      </c>
      <c r="G40" s="3">
        <v>560.1</v>
      </c>
      <c r="H40" s="3">
        <v>326.7</v>
      </c>
      <c r="I40" s="216">
        <v>326.7</v>
      </c>
      <c r="J40" s="3">
        <v>316.7</v>
      </c>
      <c r="K40" s="216">
        <v>316.7</v>
      </c>
      <c r="L40" s="3">
        <v>405.6</v>
      </c>
      <c r="M40" s="3">
        <v>53.5</v>
      </c>
      <c r="N40" s="3">
        <v>72.41564006427423</v>
      </c>
      <c r="O40" s="25">
        <v>124.15059687786962</v>
      </c>
      <c r="P40" s="3">
        <v>128.0707293969056</v>
      </c>
      <c r="Q40" s="25">
        <v>78.90000000000003</v>
      </c>
      <c r="R40" s="25">
        <v>88.90000000000003</v>
      </c>
      <c r="S40" s="88">
        <v>0.054384619128663485</v>
      </c>
      <c r="T40" s="240">
        <v>320.0571428571429</v>
      </c>
      <c r="U40" s="89">
        <v>0</v>
      </c>
      <c r="V40" s="89">
        <v>0</v>
      </c>
      <c r="W40" s="90">
        <v>0</v>
      </c>
    </row>
    <row r="41" spans="1:23" s="159" customFormat="1" ht="20.25" customHeight="1">
      <c r="A41" s="59" t="s">
        <v>80</v>
      </c>
      <c r="B41" s="33">
        <v>21080500</v>
      </c>
      <c r="C41" s="8">
        <v>0.2</v>
      </c>
      <c r="D41" s="8">
        <v>0.2</v>
      </c>
      <c r="E41" s="25">
        <v>-0.2</v>
      </c>
      <c r="F41" s="93">
        <v>0</v>
      </c>
      <c r="G41" s="8"/>
      <c r="H41" s="8">
        <v>0</v>
      </c>
      <c r="I41" s="219">
        <v>0</v>
      </c>
      <c r="J41" s="8">
        <v>0</v>
      </c>
      <c r="K41" s="217">
        <v>0</v>
      </c>
      <c r="L41" s="8"/>
      <c r="M41" s="3">
        <v>0</v>
      </c>
      <c r="N41" s="93" t="e">
        <v>#DIV/0!</v>
      </c>
      <c r="O41" s="93" t="e">
        <v>#DIV/0!</v>
      </c>
      <c r="P41" s="93" t="e">
        <v>#DIV/0!</v>
      </c>
      <c r="Q41" s="25">
        <v>0</v>
      </c>
      <c r="R41" s="25">
        <v>0</v>
      </c>
      <c r="S41" s="88">
        <v>0</v>
      </c>
      <c r="T41" s="240">
        <v>0</v>
      </c>
      <c r="U41" s="89" t="e">
        <v>#DIV/0!</v>
      </c>
      <c r="V41" s="89" t="e">
        <v>#DIV/0!</v>
      </c>
      <c r="W41" s="90" t="e">
        <v>#DIV/0!</v>
      </c>
    </row>
    <row r="42" spans="1:23" s="160" customFormat="1" ht="93.75" customHeight="1" hidden="1">
      <c r="A42" s="59" t="s">
        <v>81</v>
      </c>
      <c r="B42" s="33">
        <v>21080900</v>
      </c>
      <c r="C42" s="8"/>
      <c r="D42" s="8"/>
      <c r="E42" s="25">
        <v>0</v>
      </c>
      <c r="F42" s="14" t="e">
        <v>#DIV/0!</v>
      </c>
      <c r="G42" s="8"/>
      <c r="H42" s="8">
        <v>0</v>
      </c>
      <c r="I42" s="219">
        <v>0</v>
      </c>
      <c r="J42" s="8">
        <v>0</v>
      </c>
      <c r="K42" s="217">
        <v>0</v>
      </c>
      <c r="L42" s="8"/>
      <c r="M42" s="3">
        <v>0</v>
      </c>
      <c r="N42" s="25" t="e">
        <v>#DIV/0!</v>
      </c>
      <c r="O42" s="25" t="e">
        <v>#DIV/0!</v>
      </c>
      <c r="P42" s="14" t="e">
        <v>#DIV/0!</v>
      </c>
      <c r="Q42" s="25">
        <v>0</v>
      </c>
      <c r="R42" s="25">
        <v>0</v>
      </c>
      <c r="S42" s="88">
        <v>0</v>
      </c>
      <c r="T42" s="240">
        <v>0</v>
      </c>
      <c r="U42" s="89" t="e">
        <v>#DIV/0!</v>
      </c>
      <c r="V42" s="89" t="e">
        <v>#DIV/0!</v>
      </c>
      <c r="W42" s="90" t="e">
        <v>#DIV/0!</v>
      </c>
    </row>
    <row r="43" spans="1:23" s="160" customFormat="1" ht="33" customHeight="1">
      <c r="A43" s="59" t="s">
        <v>82</v>
      </c>
      <c r="B43" s="33">
        <v>21081100</v>
      </c>
      <c r="C43" s="8">
        <v>309.8</v>
      </c>
      <c r="D43" s="8">
        <v>120.5</v>
      </c>
      <c r="E43" s="8">
        <v>192.10000000000002</v>
      </c>
      <c r="F43" s="8">
        <v>259.4190871369295</v>
      </c>
      <c r="G43" s="3">
        <v>282</v>
      </c>
      <c r="H43" s="3">
        <v>164.5</v>
      </c>
      <c r="I43" s="216">
        <v>164.5</v>
      </c>
      <c r="J43" s="3">
        <v>129</v>
      </c>
      <c r="K43" s="216">
        <v>129</v>
      </c>
      <c r="L43" s="3">
        <v>312.6</v>
      </c>
      <c r="M43" s="3">
        <v>43</v>
      </c>
      <c r="N43" s="3">
        <v>110.85106382978725</v>
      </c>
      <c r="O43" s="3">
        <v>190.03039513677814</v>
      </c>
      <c r="P43" s="3">
        <v>242.32558139534888</v>
      </c>
      <c r="Q43" s="3">
        <v>148.10000000000002</v>
      </c>
      <c r="R43" s="3">
        <v>183.60000000000002</v>
      </c>
      <c r="S43" s="88">
        <v>0.04191477302667703</v>
      </c>
      <c r="T43" s="240">
        <v>161.14285714285714</v>
      </c>
      <c r="U43" s="89">
        <v>0</v>
      </c>
      <c r="V43" s="89">
        <v>0</v>
      </c>
      <c r="W43" s="90">
        <v>0</v>
      </c>
    </row>
    <row r="44" spans="1:23" s="160" customFormat="1" ht="73.5" customHeight="1">
      <c r="A44" s="59" t="s">
        <v>144</v>
      </c>
      <c r="B44" s="33">
        <v>21081500</v>
      </c>
      <c r="C44" s="8">
        <v>214.4</v>
      </c>
      <c r="D44" s="8">
        <v>144.6</v>
      </c>
      <c r="E44" s="8">
        <v>-51.599999999999994</v>
      </c>
      <c r="F44" s="25">
        <v>64.31535269709543</v>
      </c>
      <c r="G44" s="8">
        <v>278.1</v>
      </c>
      <c r="H44" s="8">
        <v>162.2</v>
      </c>
      <c r="I44" s="219">
        <v>162.2</v>
      </c>
      <c r="J44" s="8">
        <v>187.7</v>
      </c>
      <c r="K44" s="217">
        <v>187.7</v>
      </c>
      <c r="L44" s="8">
        <v>93</v>
      </c>
      <c r="M44" s="3">
        <v>10.5</v>
      </c>
      <c r="N44" s="36">
        <v>33.44120819848975</v>
      </c>
      <c r="O44" s="25">
        <v>57.33662145499384</v>
      </c>
      <c r="P44" s="36">
        <v>49.547149706979226</v>
      </c>
      <c r="Q44" s="25">
        <v>-69.19999999999999</v>
      </c>
      <c r="R44" s="25">
        <v>-94.69999999999999</v>
      </c>
      <c r="S44" s="88">
        <v>0.01246984610198645</v>
      </c>
      <c r="T44" s="240">
        <v>158.9142857142857</v>
      </c>
      <c r="U44" s="89">
        <v>0</v>
      </c>
      <c r="V44" s="89">
        <v>0</v>
      </c>
      <c r="W44" s="90">
        <v>0</v>
      </c>
    </row>
    <row r="45" spans="1:23" s="147" customFormat="1" ht="55.5" customHeight="1">
      <c r="A45" s="149" t="s">
        <v>83</v>
      </c>
      <c r="B45" s="43">
        <v>22000000</v>
      </c>
      <c r="C45" s="9">
        <v>34538.299999999996</v>
      </c>
      <c r="D45" s="9">
        <v>20713.5</v>
      </c>
      <c r="E45" s="6">
        <v>-191.09999999999854</v>
      </c>
      <c r="F45" s="6">
        <v>99.07741328119343</v>
      </c>
      <c r="G45" s="9">
        <v>31593</v>
      </c>
      <c r="H45" s="9">
        <v>18429.4</v>
      </c>
      <c r="I45" s="205">
        <v>18429.4</v>
      </c>
      <c r="J45" s="9">
        <v>17697.9</v>
      </c>
      <c r="K45" s="205">
        <v>17697.9</v>
      </c>
      <c r="L45" s="9">
        <v>20522.4</v>
      </c>
      <c r="M45" s="9">
        <v>3652.3999999999987</v>
      </c>
      <c r="N45" s="9">
        <v>64.95869338144527</v>
      </c>
      <c r="O45" s="6">
        <v>111.35685372285586</v>
      </c>
      <c r="P45" s="9">
        <v>115.95952062109063</v>
      </c>
      <c r="Q45" s="6">
        <v>2093</v>
      </c>
      <c r="R45" s="6">
        <v>2824.5</v>
      </c>
      <c r="S45" s="88">
        <v>2.7517330069183514</v>
      </c>
      <c r="T45" s="89">
        <v>0</v>
      </c>
      <c r="U45" s="89">
        <v>0</v>
      </c>
      <c r="V45" s="89">
        <v>0</v>
      </c>
      <c r="W45" s="90">
        <v>0</v>
      </c>
    </row>
    <row r="46" spans="1:23" s="91" customFormat="1" ht="33.75" customHeight="1">
      <c r="A46" s="26" t="s">
        <v>84</v>
      </c>
      <c r="B46" s="27" t="s">
        <v>85</v>
      </c>
      <c r="C46" s="3">
        <v>10248.9</v>
      </c>
      <c r="D46" s="3">
        <v>5498.200000000001</v>
      </c>
      <c r="E46" s="25">
        <v>3193.7000000000007</v>
      </c>
      <c r="F46" s="25">
        <v>158.0862827834564</v>
      </c>
      <c r="G46" s="3">
        <v>14423</v>
      </c>
      <c r="H46" s="3">
        <v>8413.500000000002</v>
      </c>
      <c r="I46" s="216">
        <v>8413.500000000002</v>
      </c>
      <c r="J46" s="3">
        <v>7710</v>
      </c>
      <c r="K46" s="216">
        <v>7710</v>
      </c>
      <c r="L46" s="3">
        <v>8691.900000000001</v>
      </c>
      <c r="M46" s="3">
        <v>1812.5000000000002</v>
      </c>
      <c r="N46" s="3">
        <v>60.26416140886086</v>
      </c>
      <c r="O46" s="25">
        <v>103.30896773043324</v>
      </c>
      <c r="P46" s="3">
        <v>112.7354085603113</v>
      </c>
      <c r="Q46" s="25">
        <v>278.39999999999964</v>
      </c>
      <c r="R46" s="25">
        <v>981.9000000000015</v>
      </c>
      <c r="S46" s="88">
        <v>1.1654479068156562</v>
      </c>
      <c r="T46" s="89">
        <v>0</v>
      </c>
      <c r="U46" s="89">
        <v>0</v>
      </c>
      <c r="V46" s="89">
        <v>0</v>
      </c>
      <c r="W46" s="90">
        <v>0</v>
      </c>
    </row>
    <row r="47" spans="1:23" s="91" customFormat="1" ht="67.5" customHeight="1">
      <c r="A47" s="26" t="s">
        <v>294</v>
      </c>
      <c r="B47" s="27">
        <v>22010300</v>
      </c>
      <c r="C47" s="3">
        <v>454</v>
      </c>
      <c r="D47" s="3">
        <v>201.8</v>
      </c>
      <c r="E47" s="25">
        <v>220</v>
      </c>
      <c r="F47" s="25">
        <v>209.01883052527253</v>
      </c>
      <c r="G47" s="3">
        <v>400</v>
      </c>
      <c r="H47" s="3">
        <v>233.3</v>
      </c>
      <c r="I47" s="219">
        <v>233.3</v>
      </c>
      <c r="J47" s="3">
        <v>217.5</v>
      </c>
      <c r="K47" s="216">
        <v>217.5</v>
      </c>
      <c r="L47" s="3">
        <v>421.8</v>
      </c>
      <c r="M47" s="3">
        <v>47.19999999999999</v>
      </c>
      <c r="N47" s="3">
        <v>105.45</v>
      </c>
      <c r="O47" s="25">
        <v>180.79725675096444</v>
      </c>
      <c r="P47" s="3">
        <v>193.93103448275863</v>
      </c>
      <c r="Q47" s="25">
        <v>188.5</v>
      </c>
      <c r="R47" s="25">
        <v>204.3</v>
      </c>
      <c r="S47" s="88">
        <v>0.0565567858690095</v>
      </c>
      <c r="T47" s="89">
        <v>0</v>
      </c>
      <c r="U47" s="89">
        <v>0</v>
      </c>
      <c r="V47" s="89">
        <v>0</v>
      </c>
      <c r="W47" s="90">
        <v>0</v>
      </c>
    </row>
    <row r="48" spans="1:23" s="148" customFormat="1" ht="38.25" customHeight="1">
      <c r="A48" s="59" t="s">
        <v>142</v>
      </c>
      <c r="B48" s="33" t="s">
        <v>143</v>
      </c>
      <c r="C48" s="8">
        <v>8975.2</v>
      </c>
      <c r="D48" s="8">
        <v>4889.5</v>
      </c>
      <c r="E48" s="25">
        <v>2800.2</v>
      </c>
      <c r="F48" s="25">
        <v>157.26965947438387</v>
      </c>
      <c r="G48" s="8">
        <v>13365</v>
      </c>
      <c r="H48" s="8">
        <v>7796.3</v>
      </c>
      <c r="I48" s="220">
        <v>7796.3</v>
      </c>
      <c r="J48" s="8">
        <v>7142</v>
      </c>
      <c r="K48" s="217">
        <v>7142</v>
      </c>
      <c r="L48" s="8">
        <v>7689.7</v>
      </c>
      <c r="M48" s="3">
        <v>1694.3000000000002</v>
      </c>
      <c r="N48" s="8">
        <v>57.53610175832398</v>
      </c>
      <c r="O48" s="25">
        <v>98.63268473506663</v>
      </c>
      <c r="P48" s="8">
        <v>107.66872024642957</v>
      </c>
      <c r="Q48" s="25">
        <v>-106.60000000000036</v>
      </c>
      <c r="R48" s="25">
        <v>547.6999999999998</v>
      </c>
      <c r="S48" s="88">
        <v>1.0310685545209162</v>
      </c>
      <c r="T48" s="89">
        <v>0</v>
      </c>
      <c r="U48" s="89">
        <v>0</v>
      </c>
      <c r="V48" s="89">
        <v>0</v>
      </c>
      <c r="W48" s="90">
        <v>0</v>
      </c>
    </row>
    <row r="49" spans="1:23" s="148" customFormat="1" ht="45" customHeight="1">
      <c r="A49" s="59" t="s">
        <v>163</v>
      </c>
      <c r="B49" s="33">
        <v>22012600</v>
      </c>
      <c r="C49" s="8">
        <v>806.9</v>
      </c>
      <c r="D49" s="8">
        <v>400.8</v>
      </c>
      <c r="E49" s="25">
        <v>157.40000000000003</v>
      </c>
      <c r="F49" s="25">
        <v>139.27145708582836</v>
      </c>
      <c r="G49" s="8">
        <v>650</v>
      </c>
      <c r="H49" s="8">
        <v>379.2</v>
      </c>
      <c r="I49" s="220">
        <v>379.2</v>
      </c>
      <c r="J49" s="8">
        <v>347.5</v>
      </c>
      <c r="K49" s="217">
        <v>347.5</v>
      </c>
      <c r="L49" s="8">
        <v>558.2</v>
      </c>
      <c r="M49" s="3">
        <v>69.40000000000003</v>
      </c>
      <c r="N49" s="8">
        <v>85.87692307692308</v>
      </c>
      <c r="O49" s="25">
        <v>147.20464135021098</v>
      </c>
      <c r="P49" s="8">
        <v>160.63309352517987</v>
      </c>
      <c r="Q49" s="25">
        <v>179.00000000000006</v>
      </c>
      <c r="R49" s="25">
        <v>210.70000000000005</v>
      </c>
      <c r="S49" s="88">
        <v>0.0748458934852563</v>
      </c>
      <c r="T49" s="89">
        <v>0</v>
      </c>
      <c r="U49" s="89">
        <v>0</v>
      </c>
      <c r="V49" s="89">
        <v>0</v>
      </c>
      <c r="W49" s="90">
        <v>0</v>
      </c>
    </row>
    <row r="50" spans="1:23" s="148" customFormat="1" ht="156" customHeight="1">
      <c r="A50" s="59" t="s">
        <v>295</v>
      </c>
      <c r="B50" s="33">
        <v>22012900</v>
      </c>
      <c r="C50" s="8">
        <v>12.8</v>
      </c>
      <c r="D50" s="8">
        <v>6.1</v>
      </c>
      <c r="E50" s="25">
        <v>16.1</v>
      </c>
      <c r="F50" s="25">
        <v>363.9344262295082</v>
      </c>
      <c r="G50" s="8">
        <v>8</v>
      </c>
      <c r="H50" s="8">
        <v>4.7</v>
      </c>
      <c r="I50" s="219">
        <v>4.7</v>
      </c>
      <c r="J50" s="8">
        <v>3</v>
      </c>
      <c r="K50" s="217">
        <v>3</v>
      </c>
      <c r="L50" s="8">
        <v>22.2</v>
      </c>
      <c r="M50" s="3">
        <v>1.5999999999999979</v>
      </c>
      <c r="N50" s="8">
        <v>277.5</v>
      </c>
      <c r="O50" s="25">
        <v>472.34042553191483</v>
      </c>
      <c r="P50" s="8">
        <v>740</v>
      </c>
      <c r="Q50" s="25">
        <v>17.5</v>
      </c>
      <c r="R50" s="25">
        <v>19.2</v>
      </c>
      <c r="S50" s="88">
        <v>0.0029766729404741847</v>
      </c>
      <c r="T50" s="89">
        <v>0</v>
      </c>
      <c r="U50" s="89">
        <v>0</v>
      </c>
      <c r="V50" s="89">
        <v>0</v>
      </c>
      <c r="W50" s="90">
        <v>0</v>
      </c>
    </row>
    <row r="51" spans="1:23" s="161" customFormat="1" ht="63" customHeight="1">
      <c r="A51" s="29" t="s">
        <v>86</v>
      </c>
      <c r="B51" s="30">
        <v>22080000</v>
      </c>
      <c r="C51" s="3">
        <v>20523.8</v>
      </c>
      <c r="D51" s="3">
        <v>12428.6</v>
      </c>
      <c r="E51" s="25">
        <v>-824.3000000000011</v>
      </c>
      <c r="F51" s="25">
        <v>93.36771639605426</v>
      </c>
      <c r="G51" s="3">
        <v>17000</v>
      </c>
      <c r="H51" s="3">
        <v>9916.7</v>
      </c>
      <c r="I51" s="216">
        <v>9916.7</v>
      </c>
      <c r="J51" s="3">
        <v>9888</v>
      </c>
      <c r="K51" s="216">
        <v>9888</v>
      </c>
      <c r="L51" s="3">
        <v>11604.3</v>
      </c>
      <c r="M51" s="3">
        <v>1809.0999999999985</v>
      </c>
      <c r="N51" s="3">
        <v>68.26058823529412</v>
      </c>
      <c r="O51" s="25">
        <v>117.01775792350276</v>
      </c>
      <c r="P51" s="3">
        <v>117.35740291262135</v>
      </c>
      <c r="Q51" s="25">
        <v>1687.5999999999985</v>
      </c>
      <c r="R51" s="25">
        <v>1716.2999999999993</v>
      </c>
      <c r="S51" s="88">
        <v>1.5559552163578638</v>
      </c>
      <c r="T51" s="89">
        <v>0</v>
      </c>
      <c r="U51" s="89">
        <v>0</v>
      </c>
      <c r="V51" s="89">
        <v>0</v>
      </c>
      <c r="W51" s="90">
        <v>0</v>
      </c>
    </row>
    <row r="52" spans="1:23" s="94" customFormat="1" ht="69.75" customHeight="1">
      <c r="A52" s="59" t="s">
        <v>87</v>
      </c>
      <c r="B52" s="33">
        <v>22080401</v>
      </c>
      <c r="C52" s="8">
        <v>20523.8</v>
      </c>
      <c r="D52" s="3">
        <v>12428.6</v>
      </c>
      <c r="E52" s="25">
        <v>-824.3000000000011</v>
      </c>
      <c r="F52" s="25">
        <v>93.36771639605426</v>
      </c>
      <c r="G52" s="8">
        <v>17000</v>
      </c>
      <c r="H52" s="3">
        <v>9916.7</v>
      </c>
      <c r="I52" s="220">
        <v>9916.7</v>
      </c>
      <c r="J52" s="8">
        <v>9888</v>
      </c>
      <c r="K52" s="217">
        <v>9888</v>
      </c>
      <c r="L52" s="8">
        <v>11604.3</v>
      </c>
      <c r="M52" s="3">
        <v>1809.0999999999985</v>
      </c>
      <c r="N52" s="36">
        <v>68.26058823529412</v>
      </c>
      <c r="O52" s="25">
        <v>117.01775792350276</v>
      </c>
      <c r="P52" s="36">
        <v>117.35740291262135</v>
      </c>
      <c r="Q52" s="25">
        <v>1687.5999999999985</v>
      </c>
      <c r="R52" s="25">
        <v>1716.2999999999993</v>
      </c>
      <c r="S52" s="88">
        <v>1.5559552163578638</v>
      </c>
      <c r="T52" s="89">
        <v>0</v>
      </c>
      <c r="U52" s="89">
        <v>0</v>
      </c>
      <c r="V52" s="89">
        <v>0</v>
      </c>
      <c r="W52" s="90">
        <v>0</v>
      </c>
    </row>
    <row r="53" spans="1:23" s="91" customFormat="1" ht="27.75" customHeight="1">
      <c r="A53" s="154" t="s">
        <v>88</v>
      </c>
      <c r="B53" s="30">
        <v>22090000</v>
      </c>
      <c r="C53" s="3">
        <v>3765.6</v>
      </c>
      <c r="D53" s="3">
        <v>2786.7</v>
      </c>
      <c r="E53" s="25">
        <v>-2560.5</v>
      </c>
      <c r="F53" s="25">
        <v>8.117127785552805</v>
      </c>
      <c r="G53" s="3">
        <v>170</v>
      </c>
      <c r="H53" s="3">
        <v>99.2</v>
      </c>
      <c r="I53" s="219">
        <v>99.2</v>
      </c>
      <c r="J53" s="3">
        <v>99.9</v>
      </c>
      <c r="K53" s="216">
        <v>99.9</v>
      </c>
      <c r="L53" s="3">
        <v>226.2</v>
      </c>
      <c r="M53" s="3">
        <v>30.799999999999983</v>
      </c>
      <c r="N53" s="25">
        <v>133.05882352941177</v>
      </c>
      <c r="O53" s="25">
        <v>228.0241935483871</v>
      </c>
      <c r="P53" s="25">
        <v>226.42642642642642</v>
      </c>
      <c r="Q53" s="25">
        <v>126.99999999999999</v>
      </c>
      <c r="R53" s="25">
        <v>126.29999999999998</v>
      </c>
      <c r="S53" s="88">
        <v>0.030329883744831553</v>
      </c>
      <c r="T53" s="89">
        <v>0</v>
      </c>
      <c r="U53" s="89">
        <v>0</v>
      </c>
      <c r="V53" s="89">
        <v>0</v>
      </c>
      <c r="W53" s="90">
        <v>0</v>
      </c>
    </row>
    <row r="54" spans="1:23" s="150" customFormat="1" ht="21" customHeight="1">
      <c r="A54" s="61" t="s">
        <v>89</v>
      </c>
      <c r="B54" s="55">
        <v>24000000</v>
      </c>
      <c r="C54" s="9">
        <v>2686.8999999999996</v>
      </c>
      <c r="D54" s="9">
        <v>1730.2999999999997</v>
      </c>
      <c r="E54" s="6">
        <v>-94.69999999999982</v>
      </c>
      <c r="F54" s="6">
        <v>94.52696064266313</v>
      </c>
      <c r="G54" s="9">
        <v>2274.2000000000003</v>
      </c>
      <c r="H54" s="9">
        <v>1326.6</v>
      </c>
      <c r="I54" s="205">
        <v>1326.6</v>
      </c>
      <c r="J54" s="9">
        <v>1316.9</v>
      </c>
      <c r="K54" s="205">
        <v>1316.9</v>
      </c>
      <c r="L54" s="9">
        <v>1635.6</v>
      </c>
      <c r="M54" s="9">
        <v>221.39999999999986</v>
      </c>
      <c r="N54" s="9">
        <v>71.91979597221</v>
      </c>
      <c r="O54" s="6">
        <v>123.2926277702397</v>
      </c>
      <c r="P54" s="9">
        <v>124.20077454628293</v>
      </c>
      <c r="Q54" s="6">
        <v>309</v>
      </c>
      <c r="R54" s="6">
        <v>318.6999999999998</v>
      </c>
      <c r="S54" s="88">
        <v>0.21930839015493583</v>
      </c>
      <c r="T54" s="89">
        <v>0</v>
      </c>
      <c r="U54" s="89">
        <v>0</v>
      </c>
      <c r="V54" s="89">
        <v>0</v>
      </c>
      <c r="W54" s="90">
        <v>0</v>
      </c>
    </row>
    <row r="55" spans="1:23" s="91" customFormat="1" ht="76.5" customHeight="1">
      <c r="A55" s="162" t="s">
        <v>90</v>
      </c>
      <c r="B55" s="27">
        <v>24030000</v>
      </c>
      <c r="C55" s="3">
        <v>0.7</v>
      </c>
      <c r="D55" s="3">
        <v>0.5</v>
      </c>
      <c r="E55" s="25">
        <v>-0.3</v>
      </c>
      <c r="F55" s="25">
        <v>40</v>
      </c>
      <c r="G55" s="3">
        <v>2.3</v>
      </c>
      <c r="H55" s="3">
        <v>1.3</v>
      </c>
      <c r="I55" s="219">
        <v>1.3</v>
      </c>
      <c r="J55" s="3">
        <v>0.5</v>
      </c>
      <c r="K55" s="216">
        <v>0.5</v>
      </c>
      <c r="L55" s="3">
        <v>0.2</v>
      </c>
      <c r="M55" s="3">
        <v>0</v>
      </c>
      <c r="N55" s="25">
        <v>8.695652173913045</v>
      </c>
      <c r="O55" s="25">
        <v>15.384615384615385</v>
      </c>
      <c r="P55" s="25">
        <v>40</v>
      </c>
      <c r="Q55" s="25">
        <v>-1.1</v>
      </c>
      <c r="R55" s="25">
        <v>-0.3</v>
      </c>
      <c r="S55" s="88">
        <v>2.6816873337605266E-05</v>
      </c>
      <c r="T55" s="89">
        <v>0</v>
      </c>
      <c r="U55" s="89">
        <v>0</v>
      </c>
      <c r="V55" s="89">
        <v>0</v>
      </c>
      <c r="W55" s="90">
        <v>0</v>
      </c>
    </row>
    <row r="56" spans="1:23" s="163" customFormat="1" ht="22.5" customHeight="1">
      <c r="A56" s="162" t="s">
        <v>80</v>
      </c>
      <c r="B56" s="27">
        <v>24060300</v>
      </c>
      <c r="C56" s="3">
        <v>2665.9</v>
      </c>
      <c r="D56" s="3">
        <v>1729.6</v>
      </c>
      <c r="E56" s="25">
        <v>-94.79999999999995</v>
      </c>
      <c r="F56" s="25">
        <v>94.51896392229418</v>
      </c>
      <c r="G56" s="3">
        <v>2271.9</v>
      </c>
      <c r="H56" s="3">
        <v>1325.3</v>
      </c>
      <c r="I56" s="219">
        <v>1325.3</v>
      </c>
      <c r="J56" s="3">
        <v>1316.4</v>
      </c>
      <c r="K56" s="216">
        <v>1316.4</v>
      </c>
      <c r="L56" s="3">
        <v>1634.8</v>
      </c>
      <c r="M56" s="3">
        <v>221.39999999999986</v>
      </c>
      <c r="N56" s="25">
        <v>71.95739249086667</v>
      </c>
      <c r="O56" s="25">
        <v>123.35320304836641</v>
      </c>
      <c r="P56" s="25">
        <v>124.18717714980248</v>
      </c>
      <c r="Q56" s="25">
        <v>309.5</v>
      </c>
      <c r="R56" s="25">
        <v>318.39999999999986</v>
      </c>
      <c r="S56" s="88">
        <v>0.21920112266158542</v>
      </c>
      <c r="T56" s="89">
        <v>0</v>
      </c>
      <c r="U56" s="89">
        <v>0</v>
      </c>
      <c r="V56" s="89">
        <v>0</v>
      </c>
      <c r="W56" s="90">
        <v>0</v>
      </c>
    </row>
    <row r="57" spans="1:23" s="163" customFormat="1" ht="42.75" customHeight="1" hidden="1">
      <c r="A57" s="162" t="s">
        <v>118</v>
      </c>
      <c r="B57" s="27">
        <v>24060600</v>
      </c>
      <c r="C57" s="3"/>
      <c r="D57" s="3"/>
      <c r="E57" s="25">
        <v>0</v>
      </c>
      <c r="F57" s="14" t="e">
        <v>#DIV/0!</v>
      </c>
      <c r="G57" s="3"/>
      <c r="H57" s="3"/>
      <c r="I57" s="216">
        <v>0</v>
      </c>
      <c r="J57" s="3"/>
      <c r="K57" s="216"/>
      <c r="L57" s="3"/>
      <c r="M57" s="3">
        <v>0</v>
      </c>
      <c r="N57" s="14" t="e">
        <v>#DIV/0!</v>
      </c>
      <c r="O57" s="14" t="e">
        <v>#DIV/0!</v>
      </c>
      <c r="P57" s="14" t="e">
        <v>#DIV/0!</v>
      </c>
      <c r="Q57" s="25">
        <v>0</v>
      </c>
      <c r="R57" s="25">
        <v>0</v>
      </c>
      <c r="S57" s="88">
        <v>0</v>
      </c>
      <c r="T57" s="89">
        <v>0</v>
      </c>
      <c r="U57" s="89" t="e">
        <v>#DIV/0!</v>
      </c>
      <c r="V57" s="89" t="e">
        <v>#DIV/0!</v>
      </c>
      <c r="W57" s="90" t="e">
        <v>#DIV/0!</v>
      </c>
    </row>
    <row r="58" spans="1:23" s="163" customFormat="1" ht="34.5" customHeight="1">
      <c r="A58" s="162" t="s">
        <v>160</v>
      </c>
      <c r="B58" s="27">
        <v>24060600</v>
      </c>
      <c r="C58" s="3">
        <v>0.1</v>
      </c>
      <c r="D58" s="3">
        <v>0.1</v>
      </c>
      <c r="E58" s="25">
        <v>0.5</v>
      </c>
      <c r="F58" s="14"/>
      <c r="G58" s="3"/>
      <c r="H58" s="3"/>
      <c r="I58" s="216">
        <v>0</v>
      </c>
      <c r="J58" s="3"/>
      <c r="K58" s="216"/>
      <c r="L58" s="3">
        <v>0.6</v>
      </c>
      <c r="M58" s="121">
        <v>0</v>
      </c>
      <c r="N58" s="14" t="e">
        <v>#DIV/0!</v>
      </c>
      <c r="O58" s="14" t="e">
        <v>#DIV/0!</v>
      </c>
      <c r="P58" s="14" t="e">
        <v>#DIV/0!</v>
      </c>
      <c r="Q58" s="25">
        <v>0.6</v>
      </c>
      <c r="R58" s="25">
        <v>0.6</v>
      </c>
      <c r="S58" s="88">
        <v>8.045062001281579E-05</v>
      </c>
      <c r="T58" s="89">
        <v>0</v>
      </c>
      <c r="U58" s="89" t="e">
        <v>#DIV/0!</v>
      </c>
      <c r="V58" s="89" t="e">
        <v>#DIV/0!</v>
      </c>
      <c r="W58" s="90" t="e">
        <v>#DIV/0!</v>
      </c>
    </row>
    <row r="59" spans="1:23" s="163" customFormat="1" ht="194.25" customHeight="1">
      <c r="A59" s="162" t="s">
        <v>223</v>
      </c>
      <c r="B59" s="27">
        <v>24062200</v>
      </c>
      <c r="C59" s="3">
        <v>20.2</v>
      </c>
      <c r="D59" s="3">
        <v>0.1</v>
      </c>
      <c r="E59" s="25">
        <v>-0.1</v>
      </c>
      <c r="F59" s="14">
        <v>0</v>
      </c>
      <c r="G59" s="3"/>
      <c r="H59" s="3"/>
      <c r="I59" s="216">
        <v>0</v>
      </c>
      <c r="J59" s="3"/>
      <c r="K59" s="216"/>
      <c r="L59" s="3">
        <v>0</v>
      </c>
      <c r="M59" s="3">
        <v>0</v>
      </c>
      <c r="N59" s="14" t="e">
        <v>#DIV/0!</v>
      </c>
      <c r="O59" s="14" t="e">
        <v>#DIV/0!</v>
      </c>
      <c r="P59" s="14" t="e">
        <v>#DIV/0!</v>
      </c>
      <c r="Q59" s="25">
        <v>0</v>
      </c>
      <c r="R59" s="25">
        <v>0</v>
      </c>
      <c r="S59" s="88">
        <v>0</v>
      </c>
      <c r="T59" s="89">
        <v>0</v>
      </c>
      <c r="U59" s="89" t="e">
        <v>#DIV/0!</v>
      </c>
      <c r="V59" s="89" t="e">
        <v>#DIV/0!</v>
      </c>
      <c r="W59" s="90" t="e">
        <v>#DIV/0!</v>
      </c>
    </row>
    <row r="60" spans="1:23" s="164" customFormat="1" ht="42.75" customHeight="1" hidden="1">
      <c r="A60" s="162" t="s">
        <v>91</v>
      </c>
      <c r="B60" s="27">
        <v>24060600</v>
      </c>
      <c r="C60" s="3">
        <v>0</v>
      </c>
      <c r="D60" s="3"/>
      <c r="E60" s="6">
        <v>0</v>
      </c>
      <c r="F60" s="6" t="e">
        <v>#DIV/0!</v>
      </c>
      <c r="G60" s="3"/>
      <c r="H60" s="3"/>
      <c r="I60" s="216"/>
      <c r="J60" s="3"/>
      <c r="K60" s="216"/>
      <c r="L60" s="3">
        <v>0</v>
      </c>
      <c r="M60" s="3" t="e">
        <v>#REF!</v>
      </c>
      <c r="N60" s="25" t="e">
        <v>#DIV/0!</v>
      </c>
      <c r="O60" s="6" t="e">
        <v>#DIV/0!</v>
      </c>
      <c r="P60" s="25" t="e">
        <v>#DIV/0!</v>
      </c>
      <c r="Q60" s="6">
        <v>0</v>
      </c>
      <c r="R60" s="6">
        <v>0</v>
      </c>
      <c r="S60" s="88">
        <v>0</v>
      </c>
      <c r="T60" s="89">
        <v>0</v>
      </c>
      <c r="U60" s="89" t="e">
        <v>#DIV/0!</v>
      </c>
      <c r="V60" s="89" t="e">
        <v>#DIV/0!</v>
      </c>
      <c r="W60" s="90" t="e">
        <v>#DIV/0!</v>
      </c>
    </row>
    <row r="61" spans="1:23" s="165" customFormat="1" ht="22.5" customHeight="1">
      <c r="A61" s="66" t="s">
        <v>92</v>
      </c>
      <c r="B61" s="67">
        <v>30000000</v>
      </c>
      <c r="C61" s="9">
        <v>163.9</v>
      </c>
      <c r="D61" s="9">
        <v>46.800000000000004</v>
      </c>
      <c r="E61" s="6">
        <v>-42.6</v>
      </c>
      <c r="F61" s="6">
        <v>8.974358974358974</v>
      </c>
      <c r="G61" s="9">
        <v>69</v>
      </c>
      <c r="H61" s="9">
        <v>40.199999999999996</v>
      </c>
      <c r="I61" s="205">
        <v>40.199999999999996</v>
      </c>
      <c r="J61" s="9">
        <v>29.5</v>
      </c>
      <c r="K61" s="205">
        <v>29.5</v>
      </c>
      <c r="L61" s="9">
        <v>4.2</v>
      </c>
      <c r="M61" s="9">
        <v>0</v>
      </c>
      <c r="N61" s="6">
        <v>6.086956521739131</v>
      </c>
      <c r="O61" s="6">
        <v>10.447761194029852</v>
      </c>
      <c r="P61" s="6">
        <v>14.237288135593221</v>
      </c>
      <c r="Q61" s="6">
        <v>-35.99999999999999</v>
      </c>
      <c r="R61" s="6">
        <v>-25.3</v>
      </c>
      <c r="S61" s="88">
        <v>0.0005631543400897106</v>
      </c>
      <c r="T61" s="89">
        <v>0</v>
      </c>
      <c r="U61" s="89">
        <v>0</v>
      </c>
      <c r="V61" s="89">
        <v>0</v>
      </c>
      <c r="W61" s="90">
        <v>0</v>
      </c>
    </row>
    <row r="62" spans="1:23" s="165" customFormat="1" ht="31.5" customHeight="1">
      <c r="A62" s="166" t="s">
        <v>93</v>
      </c>
      <c r="B62" s="167">
        <v>31000000</v>
      </c>
      <c r="C62" s="9">
        <v>163.9</v>
      </c>
      <c r="D62" s="9">
        <v>46.800000000000004</v>
      </c>
      <c r="E62" s="6">
        <v>-42.6</v>
      </c>
      <c r="F62" s="6">
        <v>8.974358974358974</v>
      </c>
      <c r="G62" s="9">
        <v>69</v>
      </c>
      <c r="H62" s="9">
        <v>40.199999999999996</v>
      </c>
      <c r="I62" s="205">
        <v>40.199999999999996</v>
      </c>
      <c r="J62" s="9">
        <v>29.5</v>
      </c>
      <c r="K62" s="205">
        <v>29.5</v>
      </c>
      <c r="L62" s="9">
        <v>4.2</v>
      </c>
      <c r="M62" s="9">
        <v>0</v>
      </c>
      <c r="N62" s="6">
        <v>6.086956521739131</v>
      </c>
      <c r="O62" s="6">
        <v>10.447761194029852</v>
      </c>
      <c r="P62" s="6">
        <v>14.237288135593221</v>
      </c>
      <c r="Q62" s="6">
        <v>-35.99999999999999</v>
      </c>
      <c r="R62" s="6">
        <v>-25.3</v>
      </c>
      <c r="S62" s="88">
        <v>0.0005631543400897106</v>
      </c>
      <c r="T62" s="89">
        <v>0</v>
      </c>
      <c r="U62" s="89">
        <v>0</v>
      </c>
      <c r="V62" s="89">
        <v>0</v>
      </c>
      <c r="W62" s="90">
        <v>0</v>
      </c>
    </row>
    <row r="63" spans="1:23" s="164" customFormat="1" ht="111" customHeight="1">
      <c r="A63" s="168" t="s">
        <v>94</v>
      </c>
      <c r="B63" s="27">
        <v>31010000</v>
      </c>
      <c r="C63" s="3">
        <v>160.1</v>
      </c>
      <c r="D63" s="3">
        <v>44.6</v>
      </c>
      <c r="E63" s="25">
        <v>-43.800000000000004</v>
      </c>
      <c r="F63" s="25">
        <v>1.7937219730941705</v>
      </c>
      <c r="G63" s="3">
        <v>65</v>
      </c>
      <c r="H63" s="3">
        <v>37.9</v>
      </c>
      <c r="I63" s="216">
        <v>37.9</v>
      </c>
      <c r="J63" s="3">
        <v>27.2</v>
      </c>
      <c r="K63" s="216">
        <v>27.2</v>
      </c>
      <c r="L63" s="3">
        <v>0.8</v>
      </c>
      <c r="M63" s="121">
        <v>0</v>
      </c>
      <c r="N63" s="25">
        <v>1.2307692307692308</v>
      </c>
      <c r="O63" s="25">
        <v>2.110817941952507</v>
      </c>
      <c r="P63" s="25">
        <v>2.9411764705882355</v>
      </c>
      <c r="Q63" s="25">
        <v>-37.1</v>
      </c>
      <c r="R63" s="25">
        <v>-26.4</v>
      </c>
      <c r="S63" s="88">
        <v>0.00010726749335042106</v>
      </c>
      <c r="T63" s="89">
        <v>0</v>
      </c>
      <c r="U63" s="89">
        <v>0</v>
      </c>
      <c r="V63" s="89">
        <v>0</v>
      </c>
      <c r="W63" s="90">
        <v>0</v>
      </c>
    </row>
    <row r="64" spans="1:23" s="171" customFormat="1" ht="95.25" customHeight="1">
      <c r="A64" s="169" t="s">
        <v>95</v>
      </c>
      <c r="B64" s="170">
        <v>31010200</v>
      </c>
      <c r="C64" s="8">
        <v>160.1</v>
      </c>
      <c r="D64" s="8">
        <v>44.6</v>
      </c>
      <c r="E64" s="25">
        <v>-43.800000000000004</v>
      </c>
      <c r="F64" s="25">
        <v>1.7937219730941705</v>
      </c>
      <c r="G64" s="8">
        <v>65</v>
      </c>
      <c r="H64" s="8">
        <v>37.9</v>
      </c>
      <c r="I64" s="219">
        <v>37.9</v>
      </c>
      <c r="J64" s="8">
        <v>27.2</v>
      </c>
      <c r="K64" s="217">
        <v>27.2</v>
      </c>
      <c r="L64" s="8">
        <v>0.8</v>
      </c>
      <c r="M64" s="121">
        <v>0</v>
      </c>
      <c r="N64" s="36">
        <v>1.2307692307692308</v>
      </c>
      <c r="O64" s="25">
        <v>2.110817941952507</v>
      </c>
      <c r="P64" s="36">
        <v>2.9411764705882355</v>
      </c>
      <c r="Q64" s="25">
        <v>-37.1</v>
      </c>
      <c r="R64" s="25">
        <v>-26.4</v>
      </c>
      <c r="S64" s="88">
        <v>0.00010726749335042106</v>
      </c>
      <c r="T64" s="89">
        <v>0</v>
      </c>
      <c r="U64" s="89">
        <v>0</v>
      </c>
      <c r="V64" s="89">
        <v>0</v>
      </c>
      <c r="W64" s="90">
        <v>0</v>
      </c>
    </row>
    <row r="65" spans="1:23" s="164" customFormat="1" ht="52.5" customHeight="1">
      <c r="A65" s="168" t="s">
        <v>96</v>
      </c>
      <c r="B65" s="172">
        <v>31020000</v>
      </c>
      <c r="C65" s="3">
        <v>3.8</v>
      </c>
      <c r="D65" s="3">
        <v>2.2</v>
      </c>
      <c r="E65" s="25">
        <v>1.1999999999999997</v>
      </c>
      <c r="F65" s="25">
        <v>154.54545454545453</v>
      </c>
      <c r="G65" s="3">
        <v>4</v>
      </c>
      <c r="H65" s="3">
        <v>2.3</v>
      </c>
      <c r="I65" s="219">
        <v>2.3</v>
      </c>
      <c r="J65" s="3">
        <v>2.3</v>
      </c>
      <c r="K65" s="216">
        <v>2.3</v>
      </c>
      <c r="L65" s="3">
        <v>3.4</v>
      </c>
      <c r="M65" s="3">
        <v>0</v>
      </c>
      <c r="N65" s="25">
        <v>85</v>
      </c>
      <c r="O65" s="25">
        <v>147.82608695652175</v>
      </c>
      <c r="P65" s="25">
        <v>147.82608695652175</v>
      </c>
      <c r="Q65" s="3">
        <v>1.1</v>
      </c>
      <c r="R65" s="3">
        <v>1.1</v>
      </c>
      <c r="S65" s="88">
        <v>0.0004558868467392895</v>
      </c>
      <c r="T65" s="89">
        <v>0</v>
      </c>
      <c r="U65" s="89">
        <v>0</v>
      </c>
      <c r="V65" s="89">
        <v>0</v>
      </c>
      <c r="W65" s="90">
        <v>0</v>
      </c>
    </row>
    <row r="66" spans="1:23" s="224" customFormat="1" ht="26.25" customHeight="1">
      <c r="A66" s="208" t="s">
        <v>97</v>
      </c>
      <c r="B66" s="204"/>
      <c r="C66" s="205">
        <v>1064615.9</v>
      </c>
      <c r="D66" s="205">
        <v>579863.7906900002</v>
      </c>
      <c r="E66" s="205">
        <v>165935.3093099997</v>
      </c>
      <c r="F66" s="205">
        <v>128.61625643369584</v>
      </c>
      <c r="G66" s="205">
        <v>1338506.7</v>
      </c>
      <c r="H66" s="205">
        <v>780795.6</v>
      </c>
      <c r="I66" s="205">
        <v>780795.6</v>
      </c>
      <c r="J66" s="205">
        <v>765066.4</v>
      </c>
      <c r="K66" s="205">
        <v>765066.4</v>
      </c>
      <c r="L66" s="205">
        <v>745799.0999999999</v>
      </c>
      <c r="M66" s="205">
        <v>113300.50000000001</v>
      </c>
      <c r="N66" s="205">
        <v>55.71874238657153</v>
      </c>
      <c r="O66" s="203">
        <v>95.51784103291564</v>
      </c>
      <c r="P66" s="205">
        <v>97.48161728184637</v>
      </c>
      <c r="Q66" s="203">
        <v>-34996.50000000012</v>
      </c>
      <c r="R66" s="203">
        <v>-19267.300000000163</v>
      </c>
      <c r="S66" s="116">
        <v>100</v>
      </c>
      <c r="T66" s="117">
        <v>0</v>
      </c>
      <c r="U66" s="117">
        <v>0</v>
      </c>
      <c r="V66" s="117">
        <v>0</v>
      </c>
      <c r="W66" s="118">
        <v>0</v>
      </c>
    </row>
    <row r="67" spans="1:23" s="224" customFormat="1" ht="23.25" customHeight="1">
      <c r="A67" s="206" t="s">
        <v>98</v>
      </c>
      <c r="B67" s="204">
        <v>40000000</v>
      </c>
      <c r="C67" s="205">
        <v>1218627.5</v>
      </c>
      <c r="D67" s="205">
        <v>625668.4</v>
      </c>
      <c r="E67" s="205">
        <v>278978.20000000007</v>
      </c>
      <c r="F67" s="205">
        <v>144.58882692493341</v>
      </c>
      <c r="G67" s="205">
        <v>1317433.2</v>
      </c>
      <c r="H67" s="205">
        <v>768502.6999999998</v>
      </c>
      <c r="I67" s="205">
        <v>768502.6999999998</v>
      </c>
      <c r="J67" s="205">
        <v>937386.8000000002</v>
      </c>
      <c r="K67" s="205">
        <v>937386.8000000002</v>
      </c>
      <c r="L67" s="205">
        <v>904646.6000000001</v>
      </c>
      <c r="M67" s="205">
        <v>112482.29999999999</v>
      </c>
      <c r="N67" s="205">
        <v>68.66736013636215</v>
      </c>
      <c r="O67" s="203">
        <v>117.71547451947797</v>
      </c>
      <c r="P67" s="205">
        <v>96.50729026694209</v>
      </c>
      <c r="Q67" s="203">
        <v>136143.90000000026</v>
      </c>
      <c r="R67" s="203">
        <v>-32740.20000000007</v>
      </c>
      <c r="S67" s="116">
        <v>0</v>
      </c>
      <c r="T67" s="117">
        <v>0</v>
      </c>
      <c r="U67" s="117">
        <v>0</v>
      </c>
      <c r="V67" s="117">
        <v>0</v>
      </c>
      <c r="W67" s="118">
        <v>0</v>
      </c>
    </row>
    <row r="68" spans="1:23" s="147" customFormat="1" ht="32.25" customHeight="1">
      <c r="A68" s="146" t="s">
        <v>99</v>
      </c>
      <c r="B68" s="43">
        <v>41000000</v>
      </c>
      <c r="C68" s="9">
        <v>1218627.5</v>
      </c>
      <c r="D68" s="9">
        <v>625668.4</v>
      </c>
      <c r="E68" s="9">
        <v>278978.20000000007</v>
      </c>
      <c r="F68" s="6">
        <v>144.58882692493341</v>
      </c>
      <c r="G68" s="9">
        <v>1317433.2</v>
      </c>
      <c r="H68" s="9">
        <v>768502.6999999998</v>
      </c>
      <c r="I68" s="205">
        <v>768502.6999999998</v>
      </c>
      <c r="J68" s="9">
        <v>937386.8000000002</v>
      </c>
      <c r="K68" s="205">
        <v>937386.8000000002</v>
      </c>
      <c r="L68" s="9">
        <v>904646.6000000001</v>
      </c>
      <c r="M68" s="9">
        <v>112482.29999999999</v>
      </c>
      <c r="N68" s="9">
        <v>68.66736013636215</v>
      </c>
      <c r="O68" s="6">
        <v>117.71547451947797</v>
      </c>
      <c r="P68" s="9">
        <v>96.50729026694209</v>
      </c>
      <c r="Q68" s="6">
        <v>136143.90000000026</v>
      </c>
      <c r="R68" s="6">
        <v>-32740.20000000007</v>
      </c>
      <c r="S68" s="88">
        <v>0</v>
      </c>
      <c r="T68" s="89">
        <v>0</v>
      </c>
      <c r="U68" s="89">
        <v>0</v>
      </c>
      <c r="V68" s="89">
        <v>0</v>
      </c>
      <c r="W68" s="90">
        <v>0</v>
      </c>
    </row>
    <row r="69" spans="1:23" s="92" customFormat="1" ht="42.75" customHeight="1" hidden="1">
      <c r="A69" s="162" t="s">
        <v>114</v>
      </c>
      <c r="B69" s="27">
        <v>41010100</v>
      </c>
      <c r="C69" s="3"/>
      <c r="D69" s="3"/>
      <c r="E69" s="6">
        <v>0</v>
      </c>
      <c r="F69" s="14" t="e">
        <v>#DIV/0!</v>
      </c>
      <c r="G69" s="3"/>
      <c r="H69" s="3">
        <v>0</v>
      </c>
      <c r="I69" s="216">
        <v>0</v>
      </c>
      <c r="J69" s="3">
        <v>0</v>
      </c>
      <c r="K69" s="216">
        <v>0</v>
      </c>
      <c r="L69" s="3"/>
      <c r="M69" s="3"/>
      <c r="N69" s="9" t="e">
        <v>#DIV/0!</v>
      </c>
      <c r="O69" s="6" t="e">
        <v>#DIV/0!</v>
      </c>
      <c r="P69" s="9" t="e">
        <v>#DIV/0!</v>
      </c>
      <c r="Q69" s="6">
        <v>0</v>
      </c>
      <c r="R69" s="6">
        <v>0</v>
      </c>
      <c r="S69" s="88">
        <v>0</v>
      </c>
      <c r="T69" s="89">
        <v>0</v>
      </c>
      <c r="U69" s="89" t="e">
        <v>#DIV/0!</v>
      </c>
      <c r="V69" s="89" t="e">
        <v>#DIV/0!</v>
      </c>
      <c r="W69" s="90" t="e">
        <v>#DIV/0!</v>
      </c>
    </row>
    <row r="70" spans="1:23" s="147" customFormat="1" ht="27" customHeight="1" hidden="1">
      <c r="A70" s="149" t="s">
        <v>100</v>
      </c>
      <c r="B70" s="43">
        <v>41020000</v>
      </c>
      <c r="C70" s="9">
        <v>0</v>
      </c>
      <c r="D70" s="9">
        <v>0</v>
      </c>
      <c r="E70" s="6">
        <v>0</v>
      </c>
      <c r="F70" s="50"/>
      <c r="G70" s="9">
        <v>0</v>
      </c>
      <c r="H70" s="9">
        <v>0</v>
      </c>
      <c r="I70" s="205">
        <v>0</v>
      </c>
      <c r="J70" s="9">
        <v>0</v>
      </c>
      <c r="K70" s="205">
        <v>0</v>
      </c>
      <c r="L70" s="9">
        <v>0</v>
      </c>
      <c r="M70" s="9">
        <v>0</v>
      </c>
      <c r="N70" s="9" t="e">
        <v>#DIV/0!</v>
      </c>
      <c r="O70" s="6" t="e">
        <v>#DIV/0!</v>
      </c>
      <c r="P70" s="9" t="e">
        <v>#DIV/0!</v>
      </c>
      <c r="Q70" s="6">
        <v>0</v>
      </c>
      <c r="R70" s="6">
        <v>0</v>
      </c>
      <c r="S70" s="88">
        <v>0</v>
      </c>
      <c r="T70" s="89">
        <v>0</v>
      </c>
      <c r="U70" s="89" t="e">
        <v>#DIV/0!</v>
      </c>
      <c r="V70" s="89" t="e">
        <v>#DIV/0!</v>
      </c>
      <c r="W70" s="90" t="e">
        <v>#DIV/0!</v>
      </c>
    </row>
    <row r="71" spans="1:23" s="92" customFormat="1" ht="39.75" customHeight="1" hidden="1">
      <c r="A71" s="26" t="s">
        <v>137</v>
      </c>
      <c r="B71" s="27">
        <v>41020100</v>
      </c>
      <c r="C71" s="3"/>
      <c r="D71" s="3"/>
      <c r="E71" s="6">
        <v>0</v>
      </c>
      <c r="F71" s="14" t="e">
        <v>#DIV/0!</v>
      </c>
      <c r="G71" s="3"/>
      <c r="H71" s="3">
        <v>0</v>
      </c>
      <c r="I71" s="216">
        <v>0</v>
      </c>
      <c r="J71" s="3"/>
      <c r="K71" s="216"/>
      <c r="L71" s="3"/>
      <c r="M71" s="3"/>
      <c r="N71" s="9" t="e">
        <v>#DIV/0!</v>
      </c>
      <c r="O71" s="6" t="e">
        <v>#DIV/0!</v>
      </c>
      <c r="P71" s="9" t="e">
        <v>#DIV/0!</v>
      </c>
      <c r="Q71" s="6">
        <v>0</v>
      </c>
      <c r="R71" s="6">
        <v>0</v>
      </c>
      <c r="S71" s="88">
        <v>0</v>
      </c>
      <c r="T71" s="89">
        <v>0</v>
      </c>
      <c r="U71" s="89" t="e">
        <v>#DIV/0!</v>
      </c>
      <c r="V71" s="89" t="e">
        <v>#DIV/0!</v>
      </c>
      <c r="W71" s="90" t="e">
        <v>#DIV/0!</v>
      </c>
    </row>
    <row r="72" spans="1:23" s="92" customFormat="1" ht="58.5" customHeight="1" hidden="1">
      <c r="A72" s="173" t="s">
        <v>101</v>
      </c>
      <c r="B72" s="30">
        <v>41020600</v>
      </c>
      <c r="C72" s="3"/>
      <c r="D72" s="3"/>
      <c r="E72" s="6">
        <v>0</v>
      </c>
      <c r="F72" s="14" t="e">
        <v>#DIV/0!</v>
      </c>
      <c r="G72" s="3"/>
      <c r="H72" s="3">
        <v>0</v>
      </c>
      <c r="I72" s="216">
        <v>0</v>
      </c>
      <c r="J72" s="3"/>
      <c r="K72" s="216"/>
      <c r="L72" s="3"/>
      <c r="M72" s="3"/>
      <c r="N72" s="9" t="e">
        <v>#DIV/0!</v>
      </c>
      <c r="O72" s="6" t="e">
        <v>#DIV/0!</v>
      </c>
      <c r="P72" s="9" t="e">
        <v>#DIV/0!</v>
      </c>
      <c r="Q72" s="6">
        <v>0</v>
      </c>
      <c r="R72" s="6">
        <v>0</v>
      </c>
      <c r="S72" s="88">
        <v>0</v>
      </c>
      <c r="T72" s="89">
        <v>0</v>
      </c>
      <c r="U72" s="89" t="e">
        <v>#DIV/0!</v>
      </c>
      <c r="V72" s="89" t="e">
        <v>#DIV/0!</v>
      </c>
      <c r="W72" s="90" t="e">
        <v>#DIV/0!</v>
      </c>
    </row>
    <row r="73" spans="1:23" s="92" customFormat="1" ht="42.75" customHeight="1" hidden="1">
      <c r="A73" s="173" t="s">
        <v>102</v>
      </c>
      <c r="B73" s="30">
        <v>41020900</v>
      </c>
      <c r="C73" s="3"/>
      <c r="D73" s="3"/>
      <c r="E73" s="6">
        <v>0</v>
      </c>
      <c r="F73" s="14" t="e">
        <v>#DIV/0!</v>
      </c>
      <c r="G73" s="3"/>
      <c r="H73" s="3">
        <v>0</v>
      </c>
      <c r="I73" s="216">
        <v>0</v>
      </c>
      <c r="J73" s="3"/>
      <c r="K73" s="216"/>
      <c r="L73" s="3"/>
      <c r="M73" s="3"/>
      <c r="N73" s="9" t="e">
        <v>#DIV/0!</v>
      </c>
      <c r="O73" s="6" t="e">
        <v>#DIV/0!</v>
      </c>
      <c r="P73" s="9" t="e">
        <v>#DIV/0!</v>
      </c>
      <c r="Q73" s="6">
        <v>0</v>
      </c>
      <c r="R73" s="6">
        <v>0</v>
      </c>
      <c r="S73" s="88">
        <v>0</v>
      </c>
      <c r="T73" s="89">
        <v>0</v>
      </c>
      <c r="U73" s="89" t="e">
        <v>#DIV/0!</v>
      </c>
      <c r="V73" s="89" t="e">
        <v>#DIV/0!</v>
      </c>
      <c r="W73" s="90" t="e">
        <v>#DIV/0!</v>
      </c>
    </row>
    <row r="74" spans="1:23" s="92" customFormat="1" ht="42.75" customHeight="1" hidden="1">
      <c r="A74" s="173" t="s">
        <v>112</v>
      </c>
      <c r="B74" s="30">
        <v>41021100</v>
      </c>
      <c r="C74" s="3"/>
      <c r="D74" s="3"/>
      <c r="E74" s="6">
        <v>0</v>
      </c>
      <c r="F74" s="50" t="e">
        <v>#DIV/0!</v>
      </c>
      <c r="G74" s="3"/>
      <c r="H74" s="3">
        <v>0</v>
      </c>
      <c r="I74" s="216">
        <v>0</v>
      </c>
      <c r="J74" s="3"/>
      <c r="K74" s="216"/>
      <c r="L74" s="3"/>
      <c r="M74" s="3"/>
      <c r="N74" s="9" t="e">
        <v>#DIV/0!</v>
      </c>
      <c r="O74" s="6" t="e">
        <v>#DIV/0!</v>
      </c>
      <c r="P74" s="9" t="e">
        <v>#DIV/0!</v>
      </c>
      <c r="Q74" s="6">
        <v>0</v>
      </c>
      <c r="R74" s="6">
        <v>0</v>
      </c>
      <c r="S74" s="88">
        <v>0</v>
      </c>
      <c r="T74" s="89">
        <v>0</v>
      </c>
      <c r="U74" s="89" t="e">
        <v>#DIV/0!</v>
      </c>
      <c r="V74" s="89" t="e">
        <v>#DIV/0!</v>
      </c>
      <c r="W74" s="90" t="e">
        <v>#DIV/0!</v>
      </c>
    </row>
    <row r="75" spans="1:23" s="92" customFormat="1" ht="42.75" customHeight="1" hidden="1">
      <c r="A75" s="173" t="s">
        <v>103</v>
      </c>
      <c r="B75" s="30">
        <v>41021200</v>
      </c>
      <c r="C75" s="3"/>
      <c r="D75" s="3"/>
      <c r="E75" s="6">
        <v>0</v>
      </c>
      <c r="F75" s="50" t="e">
        <v>#DIV/0!</v>
      </c>
      <c r="G75" s="3"/>
      <c r="H75" s="3">
        <v>0</v>
      </c>
      <c r="I75" s="216">
        <v>0</v>
      </c>
      <c r="J75" s="3"/>
      <c r="K75" s="216"/>
      <c r="L75" s="3"/>
      <c r="M75" s="3"/>
      <c r="N75" s="9" t="e">
        <v>#DIV/0!</v>
      </c>
      <c r="O75" s="6" t="e">
        <v>#DIV/0!</v>
      </c>
      <c r="P75" s="9" t="e">
        <v>#DIV/0!</v>
      </c>
      <c r="Q75" s="6">
        <v>0</v>
      </c>
      <c r="R75" s="6">
        <v>0</v>
      </c>
      <c r="S75" s="88">
        <v>0</v>
      </c>
      <c r="T75" s="89">
        <v>0</v>
      </c>
      <c r="U75" s="89" t="e">
        <v>#DIV/0!</v>
      </c>
      <c r="V75" s="89" t="e">
        <v>#DIV/0!</v>
      </c>
      <c r="W75" s="90" t="e">
        <v>#DIV/0!</v>
      </c>
    </row>
    <row r="76" spans="1:23" s="92" customFormat="1" ht="42.75" customHeight="1" hidden="1">
      <c r="A76" s="173" t="s">
        <v>110</v>
      </c>
      <c r="B76" s="30">
        <v>41021300</v>
      </c>
      <c r="C76" s="3"/>
      <c r="D76" s="3"/>
      <c r="E76" s="6">
        <v>0</v>
      </c>
      <c r="F76" s="14" t="e">
        <v>#DIV/0!</v>
      </c>
      <c r="G76" s="3"/>
      <c r="H76" s="3">
        <v>0</v>
      </c>
      <c r="I76" s="216">
        <v>0</v>
      </c>
      <c r="J76" s="3"/>
      <c r="K76" s="216"/>
      <c r="L76" s="3"/>
      <c r="M76" s="3"/>
      <c r="N76" s="9" t="e">
        <v>#DIV/0!</v>
      </c>
      <c r="O76" s="6" t="e">
        <v>#DIV/0!</v>
      </c>
      <c r="P76" s="9" t="e">
        <v>#DIV/0!</v>
      </c>
      <c r="Q76" s="6">
        <v>0</v>
      </c>
      <c r="R76" s="6">
        <v>0</v>
      </c>
      <c r="S76" s="88">
        <v>0</v>
      </c>
      <c r="T76" s="89">
        <v>0</v>
      </c>
      <c r="U76" s="89" t="e">
        <v>#DIV/0!</v>
      </c>
      <c r="V76" s="89" t="e">
        <v>#DIV/0!</v>
      </c>
      <c r="W76" s="90" t="e">
        <v>#DIV/0!</v>
      </c>
    </row>
    <row r="77" spans="1:23" s="92" customFormat="1" ht="42.75" customHeight="1" hidden="1">
      <c r="A77" s="41" t="s">
        <v>161</v>
      </c>
      <c r="B77" s="30">
        <v>41021600</v>
      </c>
      <c r="C77" s="3"/>
      <c r="D77" s="3"/>
      <c r="E77" s="6">
        <v>0</v>
      </c>
      <c r="F77" s="50" t="e">
        <v>#DIV/0!</v>
      </c>
      <c r="G77" s="3"/>
      <c r="H77" s="3">
        <v>0</v>
      </c>
      <c r="I77" s="216">
        <v>0</v>
      </c>
      <c r="J77" s="3"/>
      <c r="K77" s="216"/>
      <c r="L77" s="3"/>
      <c r="M77" s="3"/>
      <c r="N77" s="9" t="e">
        <v>#DIV/0!</v>
      </c>
      <c r="O77" s="6" t="e">
        <v>#DIV/0!</v>
      </c>
      <c r="P77" s="9" t="e">
        <v>#DIV/0!</v>
      </c>
      <c r="Q77" s="6">
        <v>0</v>
      </c>
      <c r="R77" s="6">
        <v>0</v>
      </c>
      <c r="S77" s="88">
        <v>0</v>
      </c>
      <c r="T77" s="89">
        <v>0</v>
      </c>
      <c r="U77" s="89" t="e">
        <v>#DIV/0!</v>
      </c>
      <c r="V77" s="89" t="e">
        <v>#DIV/0!</v>
      </c>
      <c r="W77" s="90" t="e">
        <v>#DIV/0!</v>
      </c>
    </row>
    <row r="78" spans="1:23" s="92" customFormat="1" ht="42.75" customHeight="1" hidden="1">
      <c r="A78" s="41" t="s">
        <v>104</v>
      </c>
      <c r="B78" s="30">
        <v>41021700</v>
      </c>
      <c r="C78" s="3"/>
      <c r="D78" s="3"/>
      <c r="E78" s="6">
        <v>0</v>
      </c>
      <c r="F78" s="50" t="e">
        <v>#DIV/0!</v>
      </c>
      <c r="G78" s="3"/>
      <c r="H78" s="3">
        <v>0</v>
      </c>
      <c r="I78" s="216">
        <v>0</v>
      </c>
      <c r="J78" s="3"/>
      <c r="K78" s="216"/>
      <c r="L78" s="3"/>
      <c r="M78" s="3"/>
      <c r="N78" s="9" t="e">
        <v>#DIV/0!</v>
      </c>
      <c r="O78" s="6" t="e">
        <v>#DIV/0!</v>
      </c>
      <c r="P78" s="9" t="e">
        <v>#DIV/0!</v>
      </c>
      <c r="Q78" s="6">
        <v>0</v>
      </c>
      <c r="R78" s="6">
        <v>0</v>
      </c>
      <c r="S78" s="88">
        <v>0</v>
      </c>
      <c r="T78" s="89">
        <v>0</v>
      </c>
      <c r="U78" s="89" t="e">
        <v>#DIV/0!</v>
      </c>
      <c r="V78" s="89" t="e">
        <v>#DIV/0!</v>
      </c>
      <c r="W78" s="90" t="e">
        <v>#DIV/0!</v>
      </c>
    </row>
    <row r="79" spans="1:23" s="92" customFormat="1" ht="42.75" customHeight="1" hidden="1">
      <c r="A79" s="41" t="s">
        <v>105</v>
      </c>
      <c r="B79" s="30">
        <v>41021800</v>
      </c>
      <c r="C79" s="3"/>
      <c r="D79" s="3"/>
      <c r="E79" s="6">
        <v>0</v>
      </c>
      <c r="F79" s="50" t="e">
        <v>#DIV/0!</v>
      </c>
      <c r="G79" s="3"/>
      <c r="H79" s="3">
        <v>0</v>
      </c>
      <c r="I79" s="216">
        <v>0</v>
      </c>
      <c r="J79" s="3"/>
      <c r="K79" s="216"/>
      <c r="L79" s="3"/>
      <c r="M79" s="3"/>
      <c r="N79" s="9" t="e">
        <v>#DIV/0!</v>
      </c>
      <c r="O79" s="6" t="e">
        <v>#DIV/0!</v>
      </c>
      <c r="P79" s="9" t="e">
        <v>#DIV/0!</v>
      </c>
      <c r="Q79" s="6">
        <v>0</v>
      </c>
      <c r="R79" s="6">
        <v>0</v>
      </c>
      <c r="S79" s="88">
        <v>0</v>
      </c>
      <c r="T79" s="89">
        <v>0</v>
      </c>
      <c r="U79" s="89" t="e">
        <v>#DIV/0!</v>
      </c>
      <c r="V79" s="89" t="e">
        <v>#DIV/0!</v>
      </c>
      <c r="W79" s="90" t="e">
        <v>#DIV/0!</v>
      </c>
    </row>
    <row r="80" spans="1:23" s="92" customFormat="1" ht="42.75" customHeight="1" hidden="1">
      <c r="A80" s="41" t="s">
        <v>225</v>
      </c>
      <c r="B80" s="30">
        <v>41021900</v>
      </c>
      <c r="C80" s="3"/>
      <c r="D80" s="3"/>
      <c r="E80" s="6">
        <v>0</v>
      </c>
      <c r="F80" s="50" t="e">
        <v>#DIV/0!</v>
      </c>
      <c r="G80" s="3"/>
      <c r="H80" s="3">
        <v>0</v>
      </c>
      <c r="I80" s="216">
        <v>0</v>
      </c>
      <c r="J80" s="3"/>
      <c r="K80" s="216"/>
      <c r="L80" s="3"/>
      <c r="M80" s="3"/>
      <c r="N80" s="9" t="e">
        <v>#DIV/0!</v>
      </c>
      <c r="O80" s="6" t="e">
        <v>#DIV/0!</v>
      </c>
      <c r="P80" s="9" t="e">
        <v>#DIV/0!</v>
      </c>
      <c r="Q80" s="6">
        <v>0</v>
      </c>
      <c r="R80" s="6">
        <v>0</v>
      </c>
      <c r="S80" s="88">
        <v>0</v>
      </c>
      <c r="T80" s="89">
        <v>0</v>
      </c>
      <c r="U80" s="89" t="e">
        <v>#DIV/0!</v>
      </c>
      <c r="V80" s="89" t="e">
        <v>#DIV/0!</v>
      </c>
      <c r="W80" s="90" t="e">
        <v>#DIV/0!</v>
      </c>
    </row>
    <row r="81" spans="1:23" s="147" customFormat="1" ht="27" customHeight="1">
      <c r="A81" s="174" t="s">
        <v>100</v>
      </c>
      <c r="B81" s="55">
        <v>41020000</v>
      </c>
      <c r="C81" s="9">
        <v>785</v>
      </c>
      <c r="D81" s="9">
        <v>0</v>
      </c>
      <c r="E81" s="6">
        <v>0</v>
      </c>
      <c r="F81" s="50"/>
      <c r="G81" s="9">
        <v>0</v>
      </c>
      <c r="H81" s="9">
        <v>0</v>
      </c>
      <c r="I81" s="205">
        <v>0</v>
      </c>
      <c r="J81" s="9">
        <v>0</v>
      </c>
      <c r="K81" s="205">
        <v>0</v>
      </c>
      <c r="L81" s="9">
        <v>0</v>
      </c>
      <c r="M81" s="9">
        <v>0</v>
      </c>
      <c r="N81" s="9"/>
      <c r="O81" s="6"/>
      <c r="P81" s="9"/>
      <c r="Q81" s="6">
        <v>0</v>
      </c>
      <c r="R81" s="6">
        <v>0</v>
      </c>
      <c r="S81" s="88"/>
      <c r="T81" s="89"/>
      <c r="U81" s="89"/>
      <c r="V81" s="89"/>
      <c r="W81" s="90"/>
    </row>
    <row r="82" spans="1:23" s="92" customFormat="1" ht="22.5" customHeight="1">
      <c r="A82" s="41" t="s">
        <v>304</v>
      </c>
      <c r="B82" s="30">
        <v>41020604</v>
      </c>
      <c r="C82" s="3">
        <v>785</v>
      </c>
      <c r="D82" s="3">
        <v>0</v>
      </c>
      <c r="E82" s="6"/>
      <c r="F82" s="50"/>
      <c r="G82" s="3"/>
      <c r="H82" s="3">
        <v>0</v>
      </c>
      <c r="I82" s="216">
        <v>0</v>
      </c>
      <c r="J82" s="3"/>
      <c r="K82" s="216"/>
      <c r="L82" s="3"/>
      <c r="M82" s="3">
        <v>0</v>
      </c>
      <c r="N82" s="175" t="e">
        <v>#DIV/0!</v>
      </c>
      <c r="O82" s="110" t="e">
        <v>#DIV/0!</v>
      </c>
      <c r="P82" s="175" t="e">
        <v>#DIV/0!</v>
      </c>
      <c r="Q82" s="110">
        <v>0</v>
      </c>
      <c r="R82" s="110">
        <v>0</v>
      </c>
      <c r="S82" s="88"/>
      <c r="T82" s="89"/>
      <c r="U82" s="89"/>
      <c r="V82" s="89"/>
      <c r="W82" s="90"/>
    </row>
    <row r="83" spans="1:23" s="147" customFormat="1" ht="22.5" customHeight="1">
      <c r="A83" s="149" t="s">
        <v>226</v>
      </c>
      <c r="B83" s="43">
        <v>41030000</v>
      </c>
      <c r="C83" s="9">
        <v>1217842.5</v>
      </c>
      <c r="D83" s="9">
        <v>625668.4</v>
      </c>
      <c r="E83" s="6">
        <v>278978.20000000007</v>
      </c>
      <c r="F83" s="6">
        <v>144.58882692493341</v>
      </c>
      <c r="G83" s="9">
        <v>1317433.2</v>
      </c>
      <c r="H83" s="9">
        <v>768502.6999999998</v>
      </c>
      <c r="I83" s="205">
        <v>768502.6999999998</v>
      </c>
      <c r="J83" s="9">
        <v>937386.8000000002</v>
      </c>
      <c r="K83" s="205">
        <v>937386.8000000002</v>
      </c>
      <c r="L83" s="9">
        <v>904646.6000000001</v>
      </c>
      <c r="M83" s="9">
        <v>112482.29999999999</v>
      </c>
      <c r="N83" s="9">
        <v>68.66736013636215</v>
      </c>
      <c r="O83" s="6">
        <v>117.71547451947797</v>
      </c>
      <c r="P83" s="9">
        <v>96.50729026694209</v>
      </c>
      <c r="Q83" s="6">
        <v>136143.90000000026</v>
      </c>
      <c r="R83" s="6">
        <v>-32740.20000000007</v>
      </c>
      <c r="S83" s="88">
        <v>0</v>
      </c>
      <c r="T83" s="89">
        <v>0</v>
      </c>
      <c r="U83" s="89">
        <v>0</v>
      </c>
      <c r="V83" s="89">
        <v>0</v>
      </c>
      <c r="W83" s="90">
        <v>0</v>
      </c>
    </row>
    <row r="84" spans="1:23" s="92" customFormat="1" ht="64.5" customHeight="1">
      <c r="A84" s="26" t="s">
        <v>227</v>
      </c>
      <c r="B84" s="27">
        <v>41030300</v>
      </c>
      <c r="C84" s="3">
        <v>104</v>
      </c>
      <c r="D84" s="3">
        <v>38.1</v>
      </c>
      <c r="E84" s="25">
        <v>31.699999999999996</v>
      </c>
      <c r="F84" s="25">
        <v>183.2020997375328</v>
      </c>
      <c r="G84" s="3">
        <v>127.1</v>
      </c>
      <c r="H84" s="3">
        <v>74.1</v>
      </c>
      <c r="I84" s="219">
        <v>74.1</v>
      </c>
      <c r="J84" s="3">
        <v>69.8</v>
      </c>
      <c r="K84" s="216">
        <v>69.8</v>
      </c>
      <c r="L84" s="3">
        <v>69.8</v>
      </c>
      <c r="M84" s="3">
        <v>26.299999999999997</v>
      </c>
      <c r="N84" s="25">
        <v>54.91738788355626</v>
      </c>
      <c r="O84" s="25">
        <v>94.1970310391363</v>
      </c>
      <c r="P84" s="25">
        <v>100</v>
      </c>
      <c r="Q84" s="25">
        <v>-4.299999999999997</v>
      </c>
      <c r="R84" s="25">
        <v>0</v>
      </c>
      <c r="S84" s="88">
        <v>0</v>
      </c>
      <c r="T84" s="176">
        <v>10.591666666666667</v>
      </c>
      <c r="U84" s="89">
        <v>0</v>
      </c>
      <c r="V84" s="89">
        <v>0</v>
      </c>
      <c r="W84" s="90">
        <v>0</v>
      </c>
    </row>
    <row r="85" spans="1:23" s="91" customFormat="1" ht="126.75" customHeight="1">
      <c r="A85" s="26" t="s">
        <v>224</v>
      </c>
      <c r="B85" s="27">
        <v>41030600</v>
      </c>
      <c r="C85" s="3">
        <v>269251.6</v>
      </c>
      <c r="D85" s="3">
        <v>152265.6</v>
      </c>
      <c r="E85" s="25">
        <v>16735.699999999983</v>
      </c>
      <c r="F85" s="25">
        <v>110.99112340541788</v>
      </c>
      <c r="G85" s="3">
        <v>316704.1</v>
      </c>
      <c r="H85" s="3">
        <v>184744</v>
      </c>
      <c r="I85" s="219">
        <v>184744</v>
      </c>
      <c r="J85" s="3">
        <v>176921.6</v>
      </c>
      <c r="K85" s="216">
        <v>176921.6</v>
      </c>
      <c r="L85" s="3">
        <v>169001.3</v>
      </c>
      <c r="M85" s="3">
        <v>22734.099999999977</v>
      </c>
      <c r="N85" s="25">
        <v>53.36252356695098</v>
      </c>
      <c r="O85" s="25">
        <v>91.47864071363617</v>
      </c>
      <c r="P85" s="25">
        <v>95.52327132469975</v>
      </c>
      <c r="Q85" s="25">
        <v>-15742.700000000012</v>
      </c>
      <c r="R85" s="25">
        <v>-7920.3000000000175</v>
      </c>
      <c r="S85" s="88">
        <v>0</v>
      </c>
      <c r="T85" s="176">
        <v>26392.00833333333</v>
      </c>
      <c r="U85" s="89">
        <v>0</v>
      </c>
      <c r="V85" s="89">
        <v>0</v>
      </c>
      <c r="W85" s="90">
        <v>0</v>
      </c>
    </row>
    <row r="86" spans="1:23" s="91" customFormat="1" ht="142.5" customHeight="1">
      <c r="A86" s="177" t="s">
        <v>287</v>
      </c>
      <c r="B86" s="27">
        <v>41030800</v>
      </c>
      <c r="C86" s="3">
        <v>519946.6</v>
      </c>
      <c r="D86" s="3">
        <v>231382.9</v>
      </c>
      <c r="E86" s="25">
        <v>202594.30000000002</v>
      </c>
      <c r="F86" s="25">
        <v>187.55802611169625</v>
      </c>
      <c r="G86" s="3">
        <v>486900.9</v>
      </c>
      <c r="H86" s="3">
        <v>284025.5</v>
      </c>
      <c r="I86" s="219">
        <v>284025.5</v>
      </c>
      <c r="J86" s="3">
        <v>434028.9</v>
      </c>
      <c r="K86" s="216">
        <v>434028.9</v>
      </c>
      <c r="L86" s="3">
        <v>433977.2</v>
      </c>
      <c r="M86" s="3">
        <v>56586.79999999999</v>
      </c>
      <c r="N86" s="25">
        <v>89.13049862918717</v>
      </c>
      <c r="O86" s="25">
        <v>152.7951539562469</v>
      </c>
      <c r="P86" s="25">
        <v>99.98808835079875</v>
      </c>
      <c r="Q86" s="25">
        <v>149951.7</v>
      </c>
      <c r="R86" s="25">
        <v>-51.70000000001164</v>
      </c>
      <c r="S86" s="88">
        <v>0</v>
      </c>
      <c r="T86" s="176">
        <v>40575.075000000004</v>
      </c>
      <c r="U86" s="89">
        <v>0</v>
      </c>
      <c r="V86" s="89">
        <v>0</v>
      </c>
      <c r="W86" s="90">
        <v>0</v>
      </c>
    </row>
    <row r="87" spans="1:23" s="92" customFormat="1" ht="288.75" customHeight="1" hidden="1">
      <c r="A87" s="177" t="s">
        <v>290</v>
      </c>
      <c r="B87" s="27">
        <v>41030901</v>
      </c>
      <c r="C87" s="3">
        <v>0</v>
      </c>
      <c r="D87" s="3"/>
      <c r="E87" s="25">
        <v>0</v>
      </c>
      <c r="F87" s="14" t="e">
        <v>#DIV/0!</v>
      </c>
      <c r="G87" s="3">
        <v>0</v>
      </c>
      <c r="H87" s="3">
        <v>0</v>
      </c>
      <c r="I87" s="216">
        <v>0</v>
      </c>
      <c r="J87" s="3"/>
      <c r="K87" s="216"/>
      <c r="L87" s="3">
        <v>0</v>
      </c>
      <c r="M87" s="3">
        <v>0</v>
      </c>
      <c r="N87" s="14" t="e">
        <v>#DIV/0!</v>
      </c>
      <c r="O87" s="14" t="e">
        <v>#DIV/0!</v>
      </c>
      <c r="P87" s="14" t="e">
        <v>#DIV/0!</v>
      </c>
      <c r="Q87" s="25">
        <v>0</v>
      </c>
      <c r="R87" s="25">
        <v>0</v>
      </c>
      <c r="S87" s="88">
        <v>0</v>
      </c>
      <c r="T87" s="176">
        <v>0</v>
      </c>
      <c r="U87" s="89" t="e">
        <v>#DIV/0!</v>
      </c>
      <c r="V87" s="89" t="e">
        <v>#DIV/0!</v>
      </c>
      <c r="W87" s="90" t="e">
        <v>#DIV/0!</v>
      </c>
    </row>
    <row r="88" spans="1:23" s="158" customFormat="1" ht="43.5" customHeight="1" hidden="1">
      <c r="A88" s="144" t="s">
        <v>232</v>
      </c>
      <c r="B88" s="157"/>
      <c r="C88" s="8"/>
      <c r="D88" s="8">
        <v>1322.1</v>
      </c>
      <c r="E88" s="25">
        <v>-1322.1</v>
      </c>
      <c r="F88" s="14">
        <v>0</v>
      </c>
      <c r="G88" s="8"/>
      <c r="H88" s="8">
        <v>0</v>
      </c>
      <c r="I88" s="217">
        <v>0</v>
      </c>
      <c r="J88" s="3" t="e">
        <v>#N/A</v>
      </c>
      <c r="K88" s="217"/>
      <c r="L88" s="8"/>
      <c r="M88" s="3">
        <v>0</v>
      </c>
      <c r="N88" s="34" t="e">
        <v>#DIV/0!</v>
      </c>
      <c r="O88" s="14" t="e">
        <v>#DIV/0!</v>
      </c>
      <c r="P88" s="34" t="e">
        <v>#DIV/0!</v>
      </c>
      <c r="Q88" s="25">
        <v>0</v>
      </c>
      <c r="R88" s="25">
        <v>0</v>
      </c>
      <c r="S88" s="88">
        <v>0</v>
      </c>
      <c r="T88" s="176">
        <v>0</v>
      </c>
      <c r="U88" s="89" t="e">
        <v>#DIV/0!</v>
      </c>
      <c r="V88" s="89" t="e">
        <v>#DIV/0!</v>
      </c>
      <c r="W88" s="90" t="e">
        <v>#DIV/0!</v>
      </c>
    </row>
    <row r="89" spans="1:23" s="158" customFormat="1" ht="27.75" customHeight="1" hidden="1">
      <c r="A89" s="144" t="s">
        <v>233</v>
      </c>
      <c r="B89" s="157"/>
      <c r="C89" s="8"/>
      <c r="D89" s="8">
        <v>99.2</v>
      </c>
      <c r="E89" s="25">
        <v>-99.2</v>
      </c>
      <c r="F89" s="14">
        <v>0</v>
      </c>
      <c r="G89" s="8"/>
      <c r="H89" s="8">
        <v>0</v>
      </c>
      <c r="I89" s="217">
        <v>0</v>
      </c>
      <c r="J89" s="3" t="e">
        <v>#N/A</v>
      </c>
      <c r="K89" s="217"/>
      <c r="L89" s="8"/>
      <c r="M89" s="3">
        <v>0</v>
      </c>
      <c r="N89" s="34" t="e">
        <v>#DIV/0!</v>
      </c>
      <c r="O89" s="14" t="e">
        <v>#DIV/0!</v>
      </c>
      <c r="P89" s="34" t="e">
        <v>#DIV/0!</v>
      </c>
      <c r="Q89" s="25">
        <v>0</v>
      </c>
      <c r="R89" s="25">
        <v>0</v>
      </c>
      <c r="S89" s="88">
        <v>0</v>
      </c>
      <c r="T89" s="176">
        <v>0</v>
      </c>
      <c r="U89" s="89" t="e">
        <v>#DIV/0!</v>
      </c>
      <c r="V89" s="89" t="e">
        <v>#DIV/0!</v>
      </c>
      <c r="W89" s="90" t="e">
        <v>#DIV/0!</v>
      </c>
    </row>
    <row r="90" spans="1:23" s="158" customFormat="1" ht="20.25" hidden="1">
      <c r="A90" s="144" t="s">
        <v>234</v>
      </c>
      <c r="B90" s="157"/>
      <c r="C90" s="8"/>
      <c r="D90" s="8">
        <v>0.3</v>
      </c>
      <c r="E90" s="25">
        <v>-0.3</v>
      </c>
      <c r="F90" s="14">
        <v>0</v>
      </c>
      <c r="G90" s="8"/>
      <c r="H90" s="8">
        <v>0</v>
      </c>
      <c r="I90" s="217">
        <v>0</v>
      </c>
      <c r="J90" s="3" t="e">
        <v>#N/A</v>
      </c>
      <c r="K90" s="217"/>
      <c r="L90" s="8"/>
      <c r="M90" s="3">
        <v>0</v>
      </c>
      <c r="N90" s="34" t="e">
        <v>#DIV/0!</v>
      </c>
      <c r="O90" s="14" t="e">
        <v>#DIV/0!</v>
      </c>
      <c r="P90" s="34" t="e">
        <v>#DIV/0!</v>
      </c>
      <c r="Q90" s="25">
        <v>0</v>
      </c>
      <c r="R90" s="25">
        <v>0</v>
      </c>
      <c r="S90" s="88">
        <v>0</v>
      </c>
      <c r="T90" s="176">
        <v>0</v>
      </c>
      <c r="U90" s="89" t="e">
        <v>#DIV/0!</v>
      </c>
      <c r="V90" s="89" t="e">
        <v>#DIV/0!</v>
      </c>
      <c r="W90" s="90" t="e">
        <v>#DIV/0!</v>
      </c>
    </row>
    <row r="91" spans="1:23" s="91" customFormat="1" ht="94.5" customHeight="1">
      <c r="A91" s="26" t="s">
        <v>235</v>
      </c>
      <c r="B91" s="27">
        <v>41031000</v>
      </c>
      <c r="C91" s="3">
        <v>307.2</v>
      </c>
      <c r="D91" s="3">
        <v>139.7</v>
      </c>
      <c r="E91" s="25">
        <v>30.700000000000017</v>
      </c>
      <c r="F91" s="25">
        <v>121.97566213314246</v>
      </c>
      <c r="G91" s="3">
        <v>313.5</v>
      </c>
      <c r="H91" s="3">
        <v>182.9</v>
      </c>
      <c r="I91" s="219">
        <v>182.9</v>
      </c>
      <c r="J91" s="3">
        <v>170.4</v>
      </c>
      <c r="K91" s="216">
        <v>170.4</v>
      </c>
      <c r="L91" s="3">
        <v>170.4</v>
      </c>
      <c r="M91" s="3">
        <v>15.099999999999994</v>
      </c>
      <c r="N91" s="25">
        <v>54.35406698564593</v>
      </c>
      <c r="O91" s="25">
        <v>93.1656642974303</v>
      </c>
      <c r="P91" s="25">
        <v>100</v>
      </c>
      <c r="Q91" s="25">
        <v>-12.5</v>
      </c>
      <c r="R91" s="25">
        <v>0</v>
      </c>
      <c r="S91" s="88">
        <v>0</v>
      </c>
      <c r="T91" s="176">
        <v>26.125</v>
      </c>
      <c r="U91" s="89">
        <v>0</v>
      </c>
      <c r="V91" s="89">
        <v>0</v>
      </c>
      <c r="W91" s="90">
        <v>0</v>
      </c>
    </row>
    <row r="92" spans="1:23" s="91" customFormat="1" ht="61.5">
      <c r="A92" s="23" t="s">
        <v>312</v>
      </c>
      <c r="B92" s="24">
        <v>41033600</v>
      </c>
      <c r="C92" s="3"/>
      <c r="D92" s="3"/>
      <c r="E92" s="25">
        <v>1493.5</v>
      </c>
      <c r="F92" s="122" t="e">
        <v>#DIV/0!</v>
      </c>
      <c r="G92" s="3">
        <v>3360.4</v>
      </c>
      <c r="H92" s="3">
        <v>1960.2</v>
      </c>
      <c r="I92" s="219">
        <v>1960.2</v>
      </c>
      <c r="J92" s="3">
        <v>1493.5</v>
      </c>
      <c r="K92" s="216">
        <v>1493.5</v>
      </c>
      <c r="L92" s="3">
        <v>1493.5</v>
      </c>
      <c r="M92" s="3">
        <v>373.4000000000001</v>
      </c>
      <c r="N92" s="25">
        <v>44.44411379597667</v>
      </c>
      <c r="O92" s="25">
        <v>76.19120497908376</v>
      </c>
      <c r="P92" s="25">
        <v>100</v>
      </c>
      <c r="Q92" s="25">
        <v>-466.70000000000005</v>
      </c>
      <c r="R92" s="25">
        <v>0</v>
      </c>
      <c r="S92" s="88"/>
      <c r="T92" s="176"/>
      <c r="U92" s="89"/>
      <c r="V92" s="89"/>
      <c r="W92" s="90"/>
    </row>
    <row r="93" spans="1:23" s="91" customFormat="1" ht="76.5">
      <c r="A93" s="23" t="s">
        <v>106</v>
      </c>
      <c r="B93" s="24">
        <v>41033800</v>
      </c>
      <c r="C93" s="3"/>
      <c r="D93" s="3"/>
      <c r="E93" s="25">
        <v>264</v>
      </c>
      <c r="F93" s="122" t="e">
        <v>#DIV/0!</v>
      </c>
      <c r="G93" s="3">
        <v>330</v>
      </c>
      <c r="H93" s="3">
        <v>192.5</v>
      </c>
      <c r="I93" s="219">
        <v>192.5</v>
      </c>
      <c r="J93" s="3">
        <v>264</v>
      </c>
      <c r="K93" s="216">
        <v>264</v>
      </c>
      <c r="L93" s="3">
        <v>264</v>
      </c>
      <c r="M93" s="3">
        <v>66</v>
      </c>
      <c r="N93" s="25">
        <v>80</v>
      </c>
      <c r="O93" s="25">
        <v>137.14285714285714</v>
      </c>
      <c r="P93" s="25">
        <v>100</v>
      </c>
      <c r="Q93" s="25">
        <v>71.5</v>
      </c>
      <c r="R93" s="25">
        <v>0</v>
      </c>
      <c r="S93" s="88"/>
      <c r="T93" s="176"/>
      <c r="U93" s="89"/>
      <c r="V93" s="89"/>
      <c r="W93" s="90"/>
    </row>
    <row r="94" spans="1:23" s="91" customFormat="1" ht="34.5" customHeight="1">
      <c r="A94" s="26" t="s">
        <v>37</v>
      </c>
      <c r="B94" s="27">
        <v>41033900</v>
      </c>
      <c r="C94" s="3">
        <v>196611.5</v>
      </c>
      <c r="D94" s="3">
        <v>124020.3</v>
      </c>
      <c r="E94" s="25">
        <v>23276.40000000001</v>
      </c>
      <c r="F94" s="25">
        <v>118.76821778370154</v>
      </c>
      <c r="G94" s="3">
        <v>224563.9</v>
      </c>
      <c r="H94" s="3">
        <v>130995.6</v>
      </c>
      <c r="I94" s="219">
        <v>130995.6</v>
      </c>
      <c r="J94" s="3">
        <v>147296.7</v>
      </c>
      <c r="K94" s="216">
        <v>147296.7</v>
      </c>
      <c r="L94" s="3">
        <v>147296.7</v>
      </c>
      <c r="M94" s="3">
        <v>8982.600000000006</v>
      </c>
      <c r="N94" s="25">
        <v>65.59233251649086</v>
      </c>
      <c r="O94" s="25">
        <v>112.444005752865</v>
      </c>
      <c r="P94" s="25">
        <v>100</v>
      </c>
      <c r="Q94" s="25">
        <v>16301.100000000006</v>
      </c>
      <c r="R94" s="25">
        <v>0</v>
      </c>
      <c r="S94" s="88">
        <v>0</v>
      </c>
      <c r="T94" s="176">
        <v>18713.658333333333</v>
      </c>
      <c r="U94" s="89">
        <v>0</v>
      </c>
      <c r="V94" s="89">
        <v>0</v>
      </c>
      <c r="W94" s="90">
        <v>0</v>
      </c>
    </row>
    <row r="95" spans="1:23" s="91" customFormat="1" ht="20.25">
      <c r="A95" s="23" t="s">
        <v>31</v>
      </c>
      <c r="B95" s="24"/>
      <c r="C95" s="3">
        <v>3549.9</v>
      </c>
      <c r="D95" s="3">
        <v>0</v>
      </c>
      <c r="E95" s="25">
        <v>0</v>
      </c>
      <c r="F95" s="93" t="e">
        <v>#DIV/0!</v>
      </c>
      <c r="G95" s="3"/>
      <c r="H95" s="3">
        <v>0</v>
      </c>
      <c r="I95" s="216">
        <v>0</v>
      </c>
      <c r="J95" s="3"/>
      <c r="K95" s="216"/>
      <c r="L95" s="3"/>
      <c r="M95" s="3">
        <v>0</v>
      </c>
      <c r="N95" s="93" t="e">
        <v>#DIV/0!</v>
      </c>
      <c r="O95" s="93" t="e">
        <v>#DIV/0!</v>
      </c>
      <c r="P95" s="93" t="e">
        <v>#DIV/0!</v>
      </c>
      <c r="Q95" s="25">
        <v>0</v>
      </c>
      <c r="R95" s="25">
        <v>0</v>
      </c>
      <c r="S95" s="88">
        <v>0</v>
      </c>
      <c r="T95" s="176">
        <v>0</v>
      </c>
      <c r="U95" s="89" t="e">
        <v>#DIV/0!</v>
      </c>
      <c r="V95" s="89" t="e">
        <v>#DIV/0!</v>
      </c>
      <c r="W95" s="90" t="e">
        <v>#DIV/0!</v>
      </c>
    </row>
    <row r="96" spans="1:23" s="91" customFormat="1" ht="33.75" customHeight="1">
      <c r="A96" s="26" t="s">
        <v>36</v>
      </c>
      <c r="B96" s="27">
        <v>41034200</v>
      </c>
      <c r="C96" s="3">
        <v>194572.3</v>
      </c>
      <c r="D96" s="3">
        <v>109955.1</v>
      </c>
      <c r="E96" s="25">
        <v>31793.79999999999</v>
      </c>
      <c r="F96" s="25">
        <v>128.91525722772295</v>
      </c>
      <c r="G96" s="3">
        <v>243177.4</v>
      </c>
      <c r="H96" s="3">
        <v>141853.5</v>
      </c>
      <c r="I96" s="219">
        <v>141853.5</v>
      </c>
      <c r="J96" s="3">
        <v>141824.7</v>
      </c>
      <c r="K96" s="242">
        <v>141824.7</v>
      </c>
      <c r="L96" s="1">
        <v>141748.9</v>
      </c>
      <c r="M96" s="3">
        <v>20284.699999999997</v>
      </c>
      <c r="N96" s="25">
        <v>58.2903263214427</v>
      </c>
      <c r="O96" s="25">
        <v>99.92626195335328</v>
      </c>
      <c r="P96" s="25">
        <v>99.94655373852368</v>
      </c>
      <c r="Q96" s="25">
        <v>-104.60000000000582</v>
      </c>
      <c r="R96" s="25">
        <v>-75.80000000001746</v>
      </c>
      <c r="S96" s="88">
        <v>0</v>
      </c>
      <c r="T96" s="176">
        <v>20264.783333333333</v>
      </c>
      <c r="U96" s="89">
        <v>0</v>
      </c>
      <c r="V96" s="89">
        <v>0</v>
      </c>
      <c r="W96" s="90">
        <v>0</v>
      </c>
    </row>
    <row r="97" spans="1:23" s="91" customFormat="1" ht="20.25">
      <c r="A97" s="26" t="s">
        <v>32</v>
      </c>
      <c r="B97" s="27"/>
      <c r="C97" s="3">
        <v>15892.5</v>
      </c>
      <c r="D97" s="3">
        <v>8261.3</v>
      </c>
      <c r="E97" s="25">
        <v>1806.6000000000004</v>
      </c>
      <c r="F97" s="25">
        <v>121.86822897122728</v>
      </c>
      <c r="G97" s="3">
        <v>17419.899999999998</v>
      </c>
      <c r="H97" s="3">
        <v>10161.6</v>
      </c>
      <c r="I97" s="216">
        <v>10161.6</v>
      </c>
      <c r="J97" s="3">
        <v>10143.7</v>
      </c>
      <c r="K97" s="216">
        <v>10143.7</v>
      </c>
      <c r="L97" s="1">
        <v>10067.9</v>
      </c>
      <c r="M97" s="3">
        <v>1469.4000000000003</v>
      </c>
      <c r="N97" s="25">
        <v>57.79539492189967</v>
      </c>
      <c r="O97" s="25">
        <v>99.07790111793418</v>
      </c>
      <c r="P97" s="25">
        <v>99.25273815274505</v>
      </c>
      <c r="Q97" s="25">
        <v>-93.70000000000073</v>
      </c>
      <c r="R97" s="25">
        <v>-75.80000000000109</v>
      </c>
      <c r="S97" s="88">
        <v>0</v>
      </c>
      <c r="T97" s="176">
        <v>1451.658333333333</v>
      </c>
      <c r="U97" s="89">
        <v>0</v>
      </c>
      <c r="V97" s="89">
        <v>0</v>
      </c>
      <c r="W97" s="90">
        <v>0</v>
      </c>
    </row>
    <row r="98" spans="1:23" s="91" customFormat="1" ht="75.75" customHeight="1">
      <c r="A98" s="26" t="s">
        <v>122</v>
      </c>
      <c r="B98" s="27"/>
      <c r="C98" s="3">
        <v>203.5</v>
      </c>
      <c r="D98" s="3">
        <v>136</v>
      </c>
      <c r="E98" s="25">
        <v>47</v>
      </c>
      <c r="F98" s="25">
        <v>134.55882352941177</v>
      </c>
      <c r="G98" s="3">
        <v>215.1</v>
      </c>
      <c r="H98" s="3">
        <v>125.5</v>
      </c>
      <c r="I98" s="219">
        <v>125.5</v>
      </c>
      <c r="J98" s="3">
        <v>183</v>
      </c>
      <c r="K98" s="216">
        <v>183</v>
      </c>
      <c r="L98" s="3">
        <v>183</v>
      </c>
      <c r="M98" s="3">
        <v>48.900000000000006</v>
      </c>
      <c r="N98" s="25">
        <v>85.07670850767084</v>
      </c>
      <c r="O98" s="25">
        <v>145.81673306772907</v>
      </c>
      <c r="P98" s="25">
        <v>100</v>
      </c>
      <c r="Q98" s="25">
        <v>57.5</v>
      </c>
      <c r="R98" s="25">
        <v>0</v>
      </c>
      <c r="S98" s="88">
        <v>0</v>
      </c>
      <c r="T98" s="176">
        <v>17.925</v>
      </c>
      <c r="U98" s="89">
        <v>0</v>
      </c>
      <c r="V98" s="89">
        <v>0</v>
      </c>
      <c r="W98" s="90">
        <v>0</v>
      </c>
    </row>
    <row r="99" spans="1:23" s="91" customFormat="1" ht="79.5" customHeight="1">
      <c r="A99" s="26" t="s">
        <v>129</v>
      </c>
      <c r="B99" s="27"/>
      <c r="C99" s="3">
        <v>275.6</v>
      </c>
      <c r="D99" s="3">
        <v>141.3</v>
      </c>
      <c r="E99" s="25">
        <v>-68.9</v>
      </c>
      <c r="F99" s="25">
        <v>51.238499646142955</v>
      </c>
      <c r="G99" s="3">
        <v>471.2</v>
      </c>
      <c r="H99" s="3">
        <v>274.9</v>
      </c>
      <c r="I99" s="219">
        <v>274.9</v>
      </c>
      <c r="J99" s="1">
        <v>208.2</v>
      </c>
      <c r="K99" s="243">
        <v>208.2</v>
      </c>
      <c r="L99" s="1">
        <v>72.4</v>
      </c>
      <c r="M99" s="3">
        <v>37.7</v>
      </c>
      <c r="N99" s="25">
        <v>15.365025466893039</v>
      </c>
      <c r="O99" s="25">
        <v>26.336849763550386</v>
      </c>
      <c r="P99" s="25">
        <v>34.77425552353507</v>
      </c>
      <c r="Q99" s="25">
        <v>-202.49999999999997</v>
      </c>
      <c r="R99" s="25">
        <v>-135.79999999999998</v>
      </c>
      <c r="S99" s="88">
        <v>0</v>
      </c>
      <c r="T99" s="176">
        <v>39.266666666666666</v>
      </c>
      <c r="U99" s="89">
        <v>0</v>
      </c>
      <c r="V99" s="89">
        <v>0</v>
      </c>
      <c r="W99" s="90">
        <v>0</v>
      </c>
    </row>
    <row r="100" spans="1:23" s="91" customFormat="1" ht="32.25" customHeight="1">
      <c r="A100" s="26" t="s">
        <v>152</v>
      </c>
      <c r="B100" s="27"/>
      <c r="C100" s="3">
        <v>4573.6</v>
      </c>
      <c r="D100" s="3">
        <v>2898.7</v>
      </c>
      <c r="E100" s="25">
        <v>248.30000000000018</v>
      </c>
      <c r="F100" s="14"/>
      <c r="G100" s="3">
        <v>5312.3</v>
      </c>
      <c r="H100" s="3">
        <v>3098.8</v>
      </c>
      <c r="I100" s="219">
        <v>3098.8</v>
      </c>
      <c r="J100" s="3">
        <v>3087</v>
      </c>
      <c r="K100" s="216">
        <v>3087</v>
      </c>
      <c r="L100" s="3">
        <v>3147</v>
      </c>
      <c r="M100" s="3">
        <v>503.6999999999998</v>
      </c>
      <c r="N100" s="25">
        <v>59.23987726596766</v>
      </c>
      <c r="O100" s="25">
        <v>101.55544081579966</v>
      </c>
      <c r="P100" s="25">
        <v>101.94363459669582</v>
      </c>
      <c r="Q100" s="25">
        <v>48.19999999999982</v>
      </c>
      <c r="R100" s="25">
        <v>60</v>
      </c>
      <c r="S100" s="88">
        <v>0</v>
      </c>
      <c r="T100" s="176">
        <v>442.69166666666666</v>
      </c>
      <c r="U100" s="89">
        <v>0</v>
      </c>
      <c r="V100" s="89">
        <v>0</v>
      </c>
      <c r="W100" s="90">
        <v>0</v>
      </c>
    </row>
    <row r="101" spans="1:23" s="91" customFormat="1" ht="85.5" customHeight="1">
      <c r="A101" s="26" t="s">
        <v>307</v>
      </c>
      <c r="B101" s="27"/>
      <c r="C101" s="3">
        <v>2000</v>
      </c>
      <c r="D101" s="3"/>
      <c r="E101" s="25">
        <v>0</v>
      </c>
      <c r="F101" s="14"/>
      <c r="G101" s="3"/>
      <c r="H101" s="3">
        <v>0</v>
      </c>
      <c r="I101" s="219">
        <v>0</v>
      </c>
      <c r="J101" s="3"/>
      <c r="K101" s="216"/>
      <c r="L101" s="3"/>
      <c r="M101" s="3">
        <v>0</v>
      </c>
      <c r="N101" s="93" t="e">
        <v>#DIV/0!</v>
      </c>
      <c r="O101" s="93" t="e">
        <v>#DIV/0!</v>
      </c>
      <c r="P101" s="93" t="e">
        <v>#DIV/0!</v>
      </c>
      <c r="Q101" s="25">
        <v>0</v>
      </c>
      <c r="R101" s="25">
        <v>0</v>
      </c>
      <c r="S101" s="88">
        <v>0</v>
      </c>
      <c r="T101" s="176">
        <v>0</v>
      </c>
      <c r="U101" s="89" t="e">
        <v>#DIV/0!</v>
      </c>
      <c r="V101" s="89" t="e">
        <v>#DIV/0!</v>
      </c>
      <c r="W101" s="90" t="e">
        <v>#DIV/0!</v>
      </c>
    </row>
    <row r="102" spans="1:23" s="91" customFormat="1" ht="49.5" customHeight="1">
      <c r="A102" s="26" t="s">
        <v>51</v>
      </c>
      <c r="B102" s="27"/>
      <c r="C102" s="3">
        <v>8839.8</v>
      </c>
      <c r="D102" s="3">
        <v>5085.3</v>
      </c>
      <c r="E102" s="25">
        <v>1580.1999999999998</v>
      </c>
      <c r="F102" s="25">
        <v>131.07387961378876</v>
      </c>
      <c r="G102" s="3">
        <v>11421.3</v>
      </c>
      <c r="H102" s="3">
        <v>6662.4</v>
      </c>
      <c r="I102" s="219">
        <v>6662.4</v>
      </c>
      <c r="J102" s="1">
        <v>6665.5</v>
      </c>
      <c r="K102" s="1">
        <v>6665.5</v>
      </c>
      <c r="L102" s="1">
        <v>6665.5</v>
      </c>
      <c r="M102" s="3">
        <v>879.1000000000004</v>
      </c>
      <c r="N102" s="25">
        <v>58.36025671333386</v>
      </c>
      <c r="O102" s="25">
        <v>100.04652977905862</v>
      </c>
      <c r="P102" s="25">
        <v>100</v>
      </c>
      <c r="Q102" s="25">
        <v>3.100000000000364</v>
      </c>
      <c r="R102" s="25">
        <v>0</v>
      </c>
      <c r="S102" s="88">
        <v>0</v>
      </c>
      <c r="T102" s="176">
        <v>951.775</v>
      </c>
      <c r="U102" s="89">
        <v>0</v>
      </c>
      <c r="V102" s="89">
        <v>0</v>
      </c>
      <c r="W102" s="90">
        <v>0</v>
      </c>
    </row>
    <row r="103" spans="1:23" s="92" customFormat="1" ht="65.25" customHeight="1">
      <c r="A103" s="28" t="s">
        <v>157</v>
      </c>
      <c r="B103" s="27">
        <v>41034500</v>
      </c>
      <c r="C103" s="3">
        <v>16941.5</v>
      </c>
      <c r="D103" s="3">
        <v>0</v>
      </c>
      <c r="E103" s="25">
        <v>6649</v>
      </c>
      <c r="F103" s="93" t="e">
        <v>#DIV/0!</v>
      </c>
      <c r="G103" s="3">
        <v>11458.6</v>
      </c>
      <c r="H103" s="3">
        <v>6684.2</v>
      </c>
      <c r="I103" s="219">
        <v>6684.2</v>
      </c>
      <c r="J103" s="3">
        <v>6649</v>
      </c>
      <c r="K103" s="216">
        <v>6649</v>
      </c>
      <c r="L103" s="3">
        <v>6649</v>
      </c>
      <c r="M103" s="3">
        <v>3035</v>
      </c>
      <c r="N103" s="25">
        <v>58.026285933709175</v>
      </c>
      <c r="O103" s="25">
        <v>99.47338499745669</v>
      </c>
      <c r="P103" s="25">
        <v>100</v>
      </c>
      <c r="Q103" s="25">
        <v>-35.19999999999982</v>
      </c>
      <c r="R103" s="25">
        <v>0</v>
      </c>
      <c r="S103" s="88">
        <v>0</v>
      </c>
      <c r="T103" s="176">
        <v>954.8833333333333</v>
      </c>
      <c r="U103" s="89">
        <v>0</v>
      </c>
      <c r="V103" s="89">
        <v>0</v>
      </c>
      <c r="W103" s="90">
        <v>0</v>
      </c>
    </row>
    <row r="104" spans="1:23" s="92" customFormat="1" ht="23.25" customHeight="1">
      <c r="A104" s="29" t="s">
        <v>52</v>
      </c>
      <c r="B104" s="30">
        <v>41035000</v>
      </c>
      <c r="C104" s="3">
        <v>2439.7999999999997</v>
      </c>
      <c r="D104" s="3">
        <v>1496.3</v>
      </c>
      <c r="E104" s="3">
        <v>1132.5</v>
      </c>
      <c r="F104" s="25">
        <v>175.68669384481723</v>
      </c>
      <c r="G104" s="3">
        <v>3591.2</v>
      </c>
      <c r="H104" s="3">
        <v>2095</v>
      </c>
      <c r="I104" s="216">
        <v>2095</v>
      </c>
      <c r="J104" s="3">
        <v>3143.9</v>
      </c>
      <c r="K104" s="216">
        <v>3143.9</v>
      </c>
      <c r="L104" s="3">
        <v>2628.8</v>
      </c>
      <c r="M104" s="3">
        <v>171.1</v>
      </c>
      <c r="N104" s="25">
        <v>73.20115838716865</v>
      </c>
      <c r="O104" s="25">
        <v>125.47971360381862</v>
      </c>
      <c r="P104" s="25">
        <v>83.61589109068355</v>
      </c>
      <c r="Q104" s="25">
        <v>533.8000000000002</v>
      </c>
      <c r="R104" s="25">
        <v>-515.0999999999999</v>
      </c>
      <c r="S104" s="88">
        <v>0</v>
      </c>
      <c r="T104" s="176">
        <v>299.26666666666665</v>
      </c>
      <c r="U104" s="89">
        <v>0</v>
      </c>
      <c r="V104" s="89">
        <v>0</v>
      </c>
      <c r="W104" s="90">
        <v>0</v>
      </c>
    </row>
    <row r="105" spans="1:23" s="91" customFormat="1" ht="81" customHeight="1" hidden="1">
      <c r="A105" s="29" t="s">
        <v>300</v>
      </c>
      <c r="B105" s="30"/>
      <c r="C105" s="3"/>
      <c r="D105" s="3"/>
      <c r="E105" s="25">
        <v>0</v>
      </c>
      <c r="F105" s="14"/>
      <c r="G105" s="3"/>
      <c r="H105" s="3">
        <v>0</v>
      </c>
      <c r="I105" s="216">
        <v>0</v>
      </c>
      <c r="J105" s="3"/>
      <c r="K105" s="216"/>
      <c r="L105" s="3"/>
      <c r="M105" s="3">
        <v>0</v>
      </c>
      <c r="N105" s="14" t="e">
        <v>#DIV/0!</v>
      </c>
      <c r="O105" s="14" t="e">
        <v>#DIV/0!</v>
      </c>
      <c r="P105" s="14" t="e">
        <v>#DIV/0!</v>
      </c>
      <c r="Q105" s="25">
        <v>0</v>
      </c>
      <c r="R105" s="25">
        <v>0</v>
      </c>
      <c r="S105" s="88">
        <v>0</v>
      </c>
      <c r="T105" s="176">
        <v>0</v>
      </c>
      <c r="U105" s="89" t="e">
        <v>#DIV/0!</v>
      </c>
      <c r="V105" s="89" t="e">
        <v>#DIV/0!</v>
      </c>
      <c r="W105" s="90" t="e">
        <v>#DIV/0!</v>
      </c>
    </row>
    <row r="106" spans="1:23" s="91" customFormat="1" ht="81" customHeight="1" hidden="1">
      <c r="A106" s="29" t="s">
        <v>122</v>
      </c>
      <c r="B106" s="30"/>
      <c r="C106" s="3"/>
      <c r="D106" s="3"/>
      <c r="E106" s="25"/>
      <c r="F106" s="14"/>
      <c r="G106" s="3"/>
      <c r="H106" s="3"/>
      <c r="I106" s="216"/>
      <c r="J106" s="3"/>
      <c r="K106" s="216"/>
      <c r="L106" s="3"/>
      <c r="M106" s="3">
        <v>0</v>
      </c>
      <c r="N106" s="14"/>
      <c r="O106" s="14"/>
      <c r="P106" s="14"/>
      <c r="Q106" s="25"/>
      <c r="R106" s="25"/>
      <c r="S106" s="88"/>
      <c r="T106" s="176"/>
      <c r="U106" s="89"/>
      <c r="V106" s="89"/>
      <c r="W106" s="90"/>
    </row>
    <row r="107" spans="1:23" s="91" customFormat="1" ht="81" customHeight="1" hidden="1">
      <c r="A107" s="29" t="s">
        <v>284</v>
      </c>
      <c r="B107" s="30"/>
      <c r="C107" s="3"/>
      <c r="D107" s="3"/>
      <c r="E107" s="25"/>
      <c r="F107" s="14"/>
      <c r="G107" s="3"/>
      <c r="H107" s="3"/>
      <c r="I107" s="216"/>
      <c r="J107" s="3"/>
      <c r="K107" s="216"/>
      <c r="L107" s="3"/>
      <c r="M107" s="3">
        <v>0</v>
      </c>
      <c r="N107" s="14"/>
      <c r="O107" s="14"/>
      <c r="P107" s="14"/>
      <c r="Q107" s="25"/>
      <c r="R107" s="25"/>
      <c r="S107" s="88"/>
      <c r="T107" s="176"/>
      <c r="U107" s="89"/>
      <c r="V107" s="89"/>
      <c r="W107" s="90"/>
    </row>
    <row r="108" spans="1:23" s="91" customFormat="1" ht="33.75" customHeight="1" hidden="1">
      <c r="A108" s="26" t="s">
        <v>152</v>
      </c>
      <c r="B108" s="30"/>
      <c r="C108" s="3"/>
      <c r="D108" s="3"/>
      <c r="E108" s="25"/>
      <c r="F108" s="14"/>
      <c r="G108" s="3"/>
      <c r="H108" s="3"/>
      <c r="I108" s="216"/>
      <c r="J108" s="3"/>
      <c r="K108" s="216"/>
      <c r="L108" s="3"/>
      <c r="M108" s="3">
        <v>0</v>
      </c>
      <c r="N108" s="14"/>
      <c r="O108" s="14"/>
      <c r="P108" s="14"/>
      <c r="Q108" s="25"/>
      <c r="R108" s="25"/>
      <c r="S108" s="88"/>
      <c r="T108" s="176"/>
      <c r="U108" s="89"/>
      <c r="V108" s="89"/>
      <c r="W108" s="90"/>
    </row>
    <row r="109" spans="1:23" s="91" customFormat="1" ht="66" customHeight="1" hidden="1">
      <c r="A109" s="29" t="s">
        <v>55</v>
      </c>
      <c r="B109" s="30"/>
      <c r="C109" s="3"/>
      <c r="D109" s="3"/>
      <c r="E109" s="25"/>
      <c r="F109" s="14"/>
      <c r="G109" s="3"/>
      <c r="H109" s="3"/>
      <c r="I109" s="216"/>
      <c r="J109" s="3"/>
      <c r="K109" s="216"/>
      <c r="L109" s="3"/>
      <c r="M109" s="3">
        <v>0</v>
      </c>
      <c r="N109" s="14"/>
      <c r="O109" s="14"/>
      <c r="P109" s="14"/>
      <c r="Q109" s="25"/>
      <c r="R109" s="25"/>
      <c r="S109" s="88"/>
      <c r="T109" s="176"/>
      <c r="U109" s="89"/>
      <c r="V109" s="89"/>
      <c r="W109" s="90"/>
    </row>
    <row r="110" spans="1:23" s="91" customFormat="1" ht="97.5" customHeight="1">
      <c r="A110" s="29" t="s">
        <v>148</v>
      </c>
      <c r="B110" s="30"/>
      <c r="C110" s="3">
        <v>288</v>
      </c>
      <c r="D110" s="3">
        <v>168</v>
      </c>
      <c r="E110" s="25">
        <v>0</v>
      </c>
      <c r="F110" s="25">
        <v>100</v>
      </c>
      <c r="G110" s="3">
        <v>288</v>
      </c>
      <c r="H110" s="3">
        <v>168</v>
      </c>
      <c r="I110" s="216">
        <v>168</v>
      </c>
      <c r="J110" s="3">
        <v>168</v>
      </c>
      <c r="K110" s="216">
        <v>168</v>
      </c>
      <c r="L110" s="3">
        <v>168</v>
      </c>
      <c r="M110" s="3">
        <v>24</v>
      </c>
      <c r="N110" s="25">
        <v>58.333333333333336</v>
      </c>
      <c r="O110" s="25">
        <v>100</v>
      </c>
      <c r="P110" s="25">
        <v>100</v>
      </c>
      <c r="Q110" s="25">
        <v>0</v>
      </c>
      <c r="R110" s="25">
        <v>0</v>
      </c>
      <c r="S110" s="88">
        <v>0</v>
      </c>
      <c r="T110" s="89">
        <v>0</v>
      </c>
      <c r="U110" s="89">
        <v>0</v>
      </c>
      <c r="V110" s="89">
        <v>0</v>
      </c>
      <c r="W110" s="90">
        <v>0</v>
      </c>
    </row>
    <row r="111" spans="1:23" s="91" customFormat="1" ht="35.25" customHeight="1">
      <c r="A111" s="31" t="s">
        <v>309</v>
      </c>
      <c r="B111" s="30"/>
      <c r="C111" s="3">
        <v>0.8</v>
      </c>
      <c r="D111" s="3">
        <v>0.7</v>
      </c>
      <c r="E111" s="25">
        <v>-0.49999999999999994</v>
      </c>
      <c r="F111" s="25">
        <v>28.571428571428577</v>
      </c>
      <c r="G111" s="3">
        <v>5.2</v>
      </c>
      <c r="H111" s="3">
        <v>3</v>
      </c>
      <c r="I111" s="216">
        <v>3</v>
      </c>
      <c r="J111" s="3">
        <v>3.2</v>
      </c>
      <c r="K111" s="216">
        <v>3.2</v>
      </c>
      <c r="L111" s="3">
        <v>0.2</v>
      </c>
      <c r="M111" s="3">
        <v>0</v>
      </c>
      <c r="N111" s="25">
        <v>3.8461538461538463</v>
      </c>
      <c r="O111" s="25">
        <v>6.666666666666667</v>
      </c>
      <c r="P111" s="25">
        <v>6.25</v>
      </c>
      <c r="Q111" s="25">
        <v>-2.8</v>
      </c>
      <c r="R111" s="25">
        <v>-3</v>
      </c>
      <c r="S111" s="88">
        <v>0</v>
      </c>
      <c r="T111" s="89">
        <v>0</v>
      </c>
      <c r="U111" s="89">
        <v>0</v>
      </c>
      <c r="V111" s="89">
        <v>0</v>
      </c>
      <c r="W111" s="90">
        <v>0</v>
      </c>
    </row>
    <row r="112" spans="1:23" s="91" customFormat="1" ht="51.75" customHeight="1">
      <c r="A112" s="31" t="s">
        <v>149</v>
      </c>
      <c r="B112" s="30"/>
      <c r="C112" s="3">
        <v>382.7</v>
      </c>
      <c r="D112" s="3">
        <v>187.3</v>
      </c>
      <c r="E112" s="25">
        <v>2.6999999999999886</v>
      </c>
      <c r="F112" s="25">
        <v>101.44153764014949</v>
      </c>
      <c r="G112" s="3">
        <v>390</v>
      </c>
      <c r="H112" s="3">
        <v>227.5</v>
      </c>
      <c r="I112" s="216">
        <v>227.5</v>
      </c>
      <c r="J112" s="3">
        <v>226.5</v>
      </c>
      <c r="K112" s="216">
        <v>226.5</v>
      </c>
      <c r="L112" s="3">
        <v>190</v>
      </c>
      <c r="M112" s="3">
        <v>32</v>
      </c>
      <c r="N112" s="25">
        <v>48.717948717948715</v>
      </c>
      <c r="O112" s="25">
        <v>83.51648351648352</v>
      </c>
      <c r="P112" s="25">
        <v>83.88520971302428</v>
      </c>
      <c r="Q112" s="25">
        <v>-37.5</v>
      </c>
      <c r="R112" s="25">
        <v>-36.5</v>
      </c>
      <c r="S112" s="88">
        <v>0</v>
      </c>
      <c r="T112" s="89">
        <v>0</v>
      </c>
      <c r="U112" s="89">
        <v>0</v>
      </c>
      <c r="V112" s="89">
        <v>0</v>
      </c>
      <c r="W112" s="90">
        <v>0</v>
      </c>
    </row>
    <row r="113" spans="1:23" s="91" customFormat="1" ht="33" customHeight="1">
      <c r="A113" s="29" t="s">
        <v>150</v>
      </c>
      <c r="B113" s="30"/>
      <c r="C113" s="3">
        <v>173.8</v>
      </c>
      <c r="D113" s="3">
        <v>77.6</v>
      </c>
      <c r="E113" s="25">
        <v>25.60000000000001</v>
      </c>
      <c r="F113" s="25">
        <v>132.9896907216495</v>
      </c>
      <c r="G113" s="3">
        <v>196.1</v>
      </c>
      <c r="H113" s="3">
        <v>114.4</v>
      </c>
      <c r="I113" s="216">
        <v>114.4</v>
      </c>
      <c r="J113" s="3">
        <v>122.5</v>
      </c>
      <c r="K113" s="216">
        <v>122.5</v>
      </c>
      <c r="L113" s="3">
        <v>103.2</v>
      </c>
      <c r="M113" s="3">
        <v>13.400000000000006</v>
      </c>
      <c r="N113" s="25">
        <v>52.62621111677716</v>
      </c>
      <c r="O113" s="25">
        <v>90.20979020979021</v>
      </c>
      <c r="P113" s="25">
        <v>84.24489795918367</v>
      </c>
      <c r="Q113" s="25">
        <v>-11.200000000000003</v>
      </c>
      <c r="R113" s="25">
        <v>-19.299999999999997</v>
      </c>
      <c r="S113" s="88">
        <v>0</v>
      </c>
      <c r="T113" s="89">
        <v>0</v>
      </c>
      <c r="U113" s="89">
        <v>0</v>
      </c>
      <c r="V113" s="89">
        <v>0</v>
      </c>
      <c r="W113" s="90">
        <v>0</v>
      </c>
    </row>
    <row r="114" spans="1:23" s="91" customFormat="1" ht="31.5" customHeight="1">
      <c r="A114" s="29" t="s">
        <v>151</v>
      </c>
      <c r="B114" s="30"/>
      <c r="C114" s="3">
        <v>57.3</v>
      </c>
      <c r="D114" s="3">
        <v>33.5</v>
      </c>
      <c r="E114" s="25">
        <v>-33.5</v>
      </c>
      <c r="F114" s="25">
        <v>0</v>
      </c>
      <c r="G114" s="3"/>
      <c r="H114" s="3">
        <v>0</v>
      </c>
      <c r="I114" s="216">
        <v>0</v>
      </c>
      <c r="J114" s="3"/>
      <c r="K114" s="216"/>
      <c r="L114" s="3"/>
      <c r="M114" s="3">
        <v>0</v>
      </c>
      <c r="N114" s="93" t="e">
        <v>#DIV/0!</v>
      </c>
      <c r="O114" s="93" t="e">
        <v>#DIV/0!</v>
      </c>
      <c r="P114" s="93" t="e">
        <v>#DIV/0!</v>
      </c>
      <c r="Q114" s="25">
        <v>0</v>
      </c>
      <c r="R114" s="25">
        <v>0</v>
      </c>
      <c r="S114" s="88">
        <v>0</v>
      </c>
      <c r="T114" s="89">
        <v>0</v>
      </c>
      <c r="U114" s="89" t="e">
        <v>#DIV/0!</v>
      </c>
      <c r="V114" s="89" t="e">
        <v>#DIV/0!</v>
      </c>
      <c r="W114" s="90" t="e">
        <v>#DIV/0!</v>
      </c>
    </row>
    <row r="115" spans="1:23" s="91" customFormat="1" ht="64.5" customHeight="1">
      <c r="A115" s="31" t="s">
        <v>296</v>
      </c>
      <c r="B115" s="30"/>
      <c r="C115" s="3">
        <v>143.5</v>
      </c>
      <c r="D115" s="3">
        <v>71.9</v>
      </c>
      <c r="E115" s="25">
        <v>12.199999999999989</v>
      </c>
      <c r="F115" s="25">
        <v>116.96801112656465</v>
      </c>
      <c r="G115" s="3">
        <v>176.6</v>
      </c>
      <c r="H115" s="3">
        <v>103</v>
      </c>
      <c r="I115" s="216">
        <v>103</v>
      </c>
      <c r="J115" s="3">
        <v>88.3</v>
      </c>
      <c r="K115" s="216">
        <v>88.3</v>
      </c>
      <c r="L115" s="3">
        <v>84.1</v>
      </c>
      <c r="M115" s="3">
        <v>0</v>
      </c>
      <c r="N115" s="25">
        <v>47.621744054360136</v>
      </c>
      <c r="O115" s="25">
        <v>81.65048543689319</v>
      </c>
      <c r="P115" s="25">
        <v>95.24348810872027</v>
      </c>
      <c r="Q115" s="25">
        <v>-18.900000000000006</v>
      </c>
      <c r="R115" s="25">
        <v>-4.200000000000003</v>
      </c>
      <c r="S115" s="88">
        <v>0</v>
      </c>
      <c r="T115" s="89">
        <v>0</v>
      </c>
      <c r="U115" s="89">
        <v>0</v>
      </c>
      <c r="V115" s="89">
        <v>0</v>
      </c>
      <c r="W115" s="90">
        <v>0</v>
      </c>
    </row>
    <row r="116" spans="1:23" s="91" customFormat="1" ht="91.5" customHeight="1">
      <c r="A116" s="31" t="s">
        <v>54</v>
      </c>
      <c r="B116" s="30"/>
      <c r="C116" s="3">
        <v>893.5</v>
      </c>
      <c r="D116" s="3">
        <v>917.3</v>
      </c>
      <c r="E116" s="25">
        <v>250.70000000000005</v>
      </c>
      <c r="F116" s="25">
        <v>127.33020821977543</v>
      </c>
      <c r="G116" s="3">
        <v>1169.6</v>
      </c>
      <c r="H116" s="3">
        <v>682.3</v>
      </c>
      <c r="I116" s="216">
        <v>682.3</v>
      </c>
      <c r="J116" s="3">
        <v>1169.6</v>
      </c>
      <c r="K116" s="216">
        <v>1169.6</v>
      </c>
      <c r="L116" s="3">
        <v>1168</v>
      </c>
      <c r="M116" s="3">
        <v>0</v>
      </c>
      <c r="N116" s="25">
        <v>99.86320109439126</v>
      </c>
      <c r="O116" s="25">
        <v>171.18569544188776</v>
      </c>
      <c r="P116" s="25">
        <v>99.86320109439126</v>
      </c>
      <c r="Q116" s="25">
        <v>485.70000000000005</v>
      </c>
      <c r="R116" s="25">
        <v>-1.599999999999909</v>
      </c>
      <c r="S116" s="88">
        <v>0</v>
      </c>
      <c r="T116" s="89">
        <v>0</v>
      </c>
      <c r="U116" s="89">
        <v>0</v>
      </c>
      <c r="V116" s="89">
        <v>0</v>
      </c>
      <c r="W116" s="90">
        <v>0</v>
      </c>
    </row>
    <row r="117" spans="1:23" s="92" customFormat="1" ht="49.5" customHeight="1">
      <c r="A117" s="31" t="s">
        <v>50</v>
      </c>
      <c r="B117" s="30"/>
      <c r="C117" s="3">
        <v>114</v>
      </c>
      <c r="D117" s="3">
        <v>40</v>
      </c>
      <c r="E117" s="25">
        <v>-5.600000000000001</v>
      </c>
      <c r="F117" s="25">
        <v>86</v>
      </c>
      <c r="G117" s="3">
        <v>50</v>
      </c>
      <c r="H117" s="3">
        <v>29.2</v>
      </c>
      <c r="I117" s="216">
        <v>29.2</v>
      </c>
      <c r="J117" s="3">
        <v>50</v>
      </c>
      <c r="K117" s="216">
        <v>50</v>
      </c>
      <c r="L117" s="3">
        <v>34.4</v>
      </c>
      <c r="M117" s="3">
        <v>0</v>
      </c>
      <c r="N117" s="25">
        <v>68.8</v>
      </c>
      <c r="O117" s="25">
        <v>117.8082191780822</v>
      </c>
      <c r="P117" s="25">
        <v>68.8</v>
      </c>
      <c r="Q117" s="25">
        <v>5.199999999999999</v>
      </c>
      <c r="R117" s="25">
        <v>-15.600000000000001</v>
      </c>
      <c r="S117" s="88">
        <v>0</v>
      </c>
      <c r="T117" s="89">
        <v>0</v>
      </c>
      <c r="U117" s="89">
        <v>0</v>
      </c>
      <c r="V117" s="89">
        <v>0</v>
      </c>
      <c r="W117" s="90">
        <v>0</v>
      </c>
    </row>
    <row r="118" spans="1:23" s="91" customFormat="1" ht="34.5" customHeight="1">
      <c r="A118" s="32" t="s">
        <v>156</v>
      </c>
      <c r="B118" s="30"/>
      <c r="C118" s="3">
        <v>263.2</v>
      </c>
      <c r="D118" s="8"/>
      <c r="E118" s="25">
        <v>230.2</v>
      </c>
      <c r="F118" s="93" t="e">
        <v>#DIV/0!</v>
      </c>
      <c r="G118" s="3">
        <v>230.2</v>
      </c>
      <c r="H118" s="3">
        <v>134.3</v>
      </c>
      <c r="I118" s="216">
        <v>134.3</v>
      </c>
      <c r="J118" s="3">
        <v>230.2</v>
      </c>
      <c r="K118" s="216">
        <v>230.2</v>
      </c>
      <c r="L118" s="1">
        <v>230.2</v>
      </c>
      <c r="M118" s="2"/>
      <c r="N118" s="25">
        <v>100</v>
      </c>
      <c r="O118" s="25">
        <v>171.40729709605358</v>
      </c>
      <c r="P118" s="25">
        <v>100</v>
      </c>
      <c r="Q118" s="25">
        <v>95.89999999999998</v>
      </c>
      <c r="R118" s="25">
        <v>0</v>
      </c>
      <c r="S118" s="88">
        <v>0</v>
      </c>
      <c r="T118" s="89">
        <v>0</v>
      </c>
      <c r="U118" s="89">
        <v>0</v>
      </c>
      <c r="V118" s="89">
        <v>0</v>
      </c>
      <c r="W118" s="90">
        <v>0</v>
      </c>
    </row>
    <row r="119" spans="1:23" s="94" customFormat="1" ht="138.75" customHeight="1">
      <c r="A119" s="38" t="s">
        <v>53</v>
      </c>
      <c r="B119" s="33"/>
      <c r="C119" s="3">
        <v>123</v>
      </c>
      <c r="D119" s="8"/>
      <c r="E119" s="25">
        <v>461</v>
      </c>
      <c r="F119" s="93" t="e">
        <v>#DIV/0!</v>
      </c>
      <c r="G119" s="3">
        <v>772.9</v>
      </c>
      <c r="H119" s="3">
        <v>450.9</v>
      </c>
      <c r="I119" s="216">
        <v>450.9</v>
      </c>
      <c r="J119" s="3">
        <v>773</v>
      </c>
      <c r="K119" s="216">
        <v>773</v>
      </c>
      <c r="L119" s="3">
        <v>461</v>
      </c>
      <c r="M119" s="3">
        <v>71.30000000000001</v>
      </c>
      <c r="N119" s="25">
        <v>59.64549100789236</v>
      </c>
      <c r="O119" s="25">
        <v>102.23996451541362</v>
      </c>
      <c r="P119" s="25">
        <v>59.637774902975416</v>
      </c>
      <c r="Q119" s="25">
        <v>10.100000000000023</v>
      </c>
      <c r="R119" s="25">
        <v>-312</v>
      </c>
      <c r="S119" s="88">
        <v>0</v>
      </c>
      <c r="T119" s="89">
        <v>0</v>
      </c>
      <c r="U119" s="89">
        <v>0</v>
      </c>
      <c r="V119" s="89">
        <v>0</v>
      </c>
      <c r="W119" s="90">
        <v>0</v>
      </c>
    </row>
    <row r="120" spans="1:23" s="94" customFormat="1" ht="30">
      <c r="A120" s="38" t="s">
        <v>311</v>
      </c>
      <c r="B120" s="33"/>
      <c r="C120" s="3"/>
      <c r="D120" s="8"/>
      <c r="E120" s="25">
        <v>189.7</v>
      </c>
      <c r="F120" s="93" t="e">
        <v>#DIV/0!</v>
      </c>
      <c r="G120" s="3">
        <v>312.6</v>
      </c>
      <c r="H120" s="3">
        <v>182.4</v>
      </c>
      <c r="I120" s="216">
        <v>182.4</v>
      </c>
      <c r="J120" s="3">
        <v>312.6</v>
      </c>
      <c r="K120" s="216">
        <v>312.6</v>
      </c>
      <c r="L120" s="3">
        <v>189.7</v>
      </c>
      <c r="M120" s="3">
        <v>30.399999999999977</v>
      </c>
      <c r="N120" s="25">
        <v>60.684580934101085</v>
      </c>
      <c r="O120" s="25">
        <v>104.00219298245612</v>
      </c>
      <c r="P120" s="25">
        <v>60.684580934101085</v>
      </c>
      <c r="Q120" s="25">
        <v>7.299999999999983</v>
      </c>
      <c r="R120" s="25">
        <v>-122.90000000000003</v>
      </c>
      <c r="S120" s="88">
        <v>0</v>
      </c>
      <c r="T120" s="89">
        <v>0</v>
      </c>
      <c r="U120" s="89"/>
      <c r="V120" s="89">
        <v>0</v>
      </c>
      <c r="W120" s="90">
        <v>0</v>
      </c>
    </row>
    <row r="121" spans="1:23" s="94" customFormat="1" ht="81.75" customHeight="1">
      <c r="A121" s="37" t="s">
        <v>59</v>
      </c>
      <c r="B121" s="30">
        <v>41035200</v>
      </c>
      <c r="C121" s="3">
        <v>343.7</v>
      </c>
      <c r="D121" s="3">
        <v>344.4</v>
      </c>
      <c r="E121" s="3">
        <v>-344.4</v>
      </c>
      <c r="F121" s="93">
        <v>0</v>
      </c>
      <c r="G121" s="3">
        <v>0</v>
      </c>
      <c r="H121" s="3">
        <v>0</v>
      </c>
      <c r="I121" s="216">
        <v>0</v>
      </c>
      <c r="J121" s="3">
        <v>0</v>
      </c>
      <c r="K121" s="216">
        <v>0</v>
      </c>
      <c r="L121" s="3">
        <v>0</v>
      </c>
      <c r="M121" s="3">
        <v>0</v>
      </c>
      <c r="N121" s="111" t="e">
        <v>#DIV/0!</v>
      </c>
      <c r="O121" s="93" t="e">
        <v>#DIV/0!</v>
      </c>
      <c r="P121" s="111" t="e">
        <v>#DIV/0!</v>
      </c>
      <c r="Q121" s="25">
        <v>0</v>
      </c>
      <c r="R121" s="25">
        <v>0</v>
      </c>
      <c r="S121" s="88">
        <v>0</v>
      </c>
      <c r="T121" s="89">
        <v>0</v>
      </c>
      <c r="U121" s="89" t="e">
        <v>#DIV/0!</v>
      </c>
      <c r="V121" s="89" t="e">
        <v>#DIV/0!</v>
      </c>
      <c r="W121" s="90" t="e">
        <v>#DIV/0!</v>
      </c>
    </row>
    <row r="122" spans="1:23" s="94" customFormat="1" ht="47.25" customHeight="1">
      <c r="A122" s="35" t="s">
        <v>60</v>
      </c>
      <c r="B122" s="33"/>
      <c r="C122" s="8">
        <v>343.7</v>
      </c>
      <c r="D122" s="3">
        <v>344.4</v>
      </c>
      <c r="E122" s="25">
        <v>-344.4</v>
      </c>
      <c r="F122" s="93">
        <v>0</v>
      </c>
      <c r="G122" s="8"/>
      <c r="H122" s="3">
        <v>0</v>
      </c>
      <c r="I122" s="219">
        <v>0</v>
      </c>
      <c r="J122" s="8"/>
      <c r="K122" s="217"/>
      <c r="L122" s="8"/>
      <c r="M122" s="3">
        <v>0</v>
      </c>
      <c r="N122" s="93" t="e">
        <v>#DIV/0!</v>
      </c>
      <c r="O122" s="93" t="e">
        <v>#DIV/0!</v>
      </c>
      <c r="P122" s="93" t="e">
        <v>#DIV/0!</v>
      </c>
      <c r="Q122" s="25">
        <v>0</v>
      </c>
      <c r="R122" s="25">
        <v>0</v>
      </c>
      <c r="S122" s="88">
        <v>0</v>
      </c>
      <c r="T122" s="89">
        <v>0</v>
      </c>
      <c r="U122" s="89" t="e">
        <v>#DIV/0!</v>
      </c>
      <c r="V122" s="89" t="e">
        <v>#DIV/0!</v>
      </c>
      <c r="W122" s="90" t="e">
        <v>#DIV/0!</v>
      </c>
    </row>
    <row r="123" spans="1:23" s="161" customFormat="1" ht="77.25" customHeight="1">
      <c r="A123" s="38" t="s">
        <v>56</v>
      </c>
      <c r="B123" s="30">
        <v>41035300</v>
      </c>
      <c r="C123" s="3">
        <v>12665.8</v>
      </c>
      <c r="D123" s="3">
        <v>5218.4</v>
      </c>
      <c r="E123" s="25">
        <v>-5218.4</v>
      </c>
      <c r="F123" s="93">
        <v>0</v>
      </c>
      <c r="G123" s="3">
        <v>0</v>
      </c>
      <c r="H123" s="3">
        <v>0</v>
      </c>
      <c r="I123" s="216">
        <v>0</v>
      </c>
      <c r="J123" s="3">
        <v>0</v>
      </c>
      <c r="K123" s="216">
        <v>0</v>
      </c>
      <c r="L123" s="3">
        <v>0</v>
      </c>
      <c r="M123" s="3">
        <v>0</v>
      </c>
      <c r="N123" s="93" t="e">
        <v>#DIV/0!</v>
      </c>
      <c r="O123" s="93" t="e">
        <v>#DIV/0!</v>
      </c>
      <c r="P123" s="93" t="e">
        <v>#DIV/0!</v>
      </c>
      <c r="Q123" s="25">
        <v>0</v>
      </c>
      <c r="R123" s="25">
        <v>0</v>
      </c>
      <c r="S123" s="88">
        <v>0</v>
      </c>
      <c r="T123" s="89">
        <v>0</v>
      </c>
      <c r="U123" s="89" t="e">
        <v>#DIV/0!</v>
      </c>
      <c r="V123" s="89" t="e">
        <v>#DIV/0!</v>
      </c>
      <c r="W123" s="90" t="e">
        <v>#DIV/0!</v>
      </c>
    </row>
    <row r="124" spans="1:23" s="94" customFormat="1" ht="60.75" customHeight="1">
      <c r="A124" s="35" t="s">
        <v>58</v>
      </c>
      <c r="B124" s="33"/>
      <c r="C124" s="8">
        <v>7536.5</v>
      </c>
      <c r="D124" s="3">
        <v>3380</v>
      </c>
      <c r="E124" s="25">
        <v>-3380</v>
      </c>
      <c r="F124" s="93">
        <v>0</v>
      </c>
      <c r="G124" s="8"/>
      <c r="H124" s="3">
        <v>0</v>
      </c>
      <c r="I124" s="219">
        <v>0</v>
      </c>
      <c r="J124" s="8"/>
      <c r="K124" s="217"/>
      <c r="L124" s="8"/>
      <c r="M124" s="3">
        <v>0</v>
      </c>
      <c r="N124" s="93" t="e">
        <v>#DIV/0!</v>
      </c>
      <c r="O124" s="93" t="e">
        <v>#DIV/0!</v>
      </c>
      <c r="P124" s="93" t="e">
        <v>#DIV/0!</v>
      </c>
      <c r="Q124" s="25">
        <v>0</v>
      </c>
      <c r="R124" s="25">
        <v>0</v>
      </c>
      <c r="S124" s="88">
        <v>0</v>
      </c>
      <c r="T124" s="89">
        <v>0</v>
      </c>
      <c r="U124" s="89" t="e">
        <v>#DIV/0!</v>
      </c>
      <c r="V124" s="89" t="e">
        <v>#DIV/0!</v>
      </c>
      <c r="W124" s="90" t="e">
        <v>#DIV/0!</v>
      </c>
    </row>
    <row r="125" spans="1:23" s="94" customFormat="1" ht="37.5" customHeight="1">
      <c r="A125" s="35" t="s">
        <v>152</v>
      </c>
      <c r="B125" s="33"/>
      <c r="C125" s="8">
        <v>5129.3</v>
      </c>
      <c r="D125" s="3">
        <v>1838.4</v>
      </c>
      <c r="E125" s="25">
        <v>-1838.4</v>
      </c>
      <c r="F125" s="93">
        <v>0</v>
      </c>
      <c r="G125" s="8"/>
      <c r="H125" s="3">
        <v>0</v>
      </c>
      <c r="I125" s="219">
        <v>0</v>
      </c>
      <c r="J125" s="8"/>
      <c r="K125" s="217"/>
      <c r="L125" s="8"/>
      <c r="M125" s="3">
        <v>0</v>
      </c>
      <c r="N125" s="93" t="e">
        <v>#DIV/0!</v>
      </c>
      <c r="O125" s="93" t="e">
        <v>#DIV/0!</v>
      </c>
      <c r="P125" s="93" t="e">
        <v>#DIV/0!</v>
      </c>
      <c r="Q125" s="25">
        <v>0</v>
      </c>
      <c r="R125" s="25">
        <v>0</v>
      </c>
      <c r="S125" s="88">
        <v>0</v>
      </c>
      <c r="T125" s="89">
        <v>0</v>
      </c>
      <c r="U125" s="89" t="e">
        <v>#DIV/0!</v>
      </c>
      <c r="V125" s="89" t="e">
        <v>#DIV/0!</v>
      </c>
      <c r="W125" s="90" t="e">
        <v>#DIV/0!</v>
      </c>
    </row>
    <row r="126" spans="1:23" s="161" customFormat="1" ht="71.25" customHeight="1">
      <c r="A126" s="38" t="s">
        <v>48</v>
      </c>
      <c r="B126" s="30">
        <v>41035400</v>
      </c>
      <c r="C126" s="3"/>
      <c r="D126" s="3">
        <v>0</v>
      </c>
      <c r="E126" s="25">
        <v>342.4</v>
      </c>
      <c r="F126" s="93" t="e">
        <v>#DIV/0!</v>
      </c>
      <c r="G126" s="3">
        <v>627.5999999999999</v>
      </c>
      <c r="H126" s="3">
        <v>366.1</v>
      </c>
      <c r="I126" s="219">
        <v>366.1</v>
      </c>
      <c r="J126" s="3">
        <v>342.4</v>
      </c>
      <c r="K126" s="216">
        <v>342.4</v>
      </c>
      <c r="L126" s="3">
        <v>342.4</v>
      </c>
      <c r="M126" s="3">
        <v>57.099999999999966</v>
      </c>
      <c r="N126" s="25">
        <v>54.557042702358196</v>
      </c>
      <c r="O126" s="25">
        <v>93.52635891832831</v>
      </c>
      <c r="P126" s="25">
        <v>100</v>
      </c>
      <c r="Q126" s="25">
        <v>-23.700000000000045</v>
      </c>
      <c r="R126" s="25">
        <v>0</v>
      </c>
      <c r="S126" s="88"/>
      <c r="T126" s="89"/>
      <c r="U126" s="89"/>
      <c r="V126" s="89"/>
      <c r="W126" s="90"/>
    </row>
    <row r="127" spans="1:23" s="91" customFormat="1" ht="219.75" customHeight="1">
      <c r="A127" s="38" t="s">
        <v>47</v>
      </c>
      <c r="B127" s="27">
        <v>41035800</v>
      </c>
      <c r="C127" s="3">
        <v>1420.2</v>
      </c>
      <c r="D127" s="3">
        <v>807.6</v>
      </c>
      <c r="E127" s="25">
        <v>197</v>
      </c>
      <c r="F127" s="25">
        <v>124.39326399207529</v>
      </c>
      <c r="G127" s="3">
        <v>2415.1</v>
      </c>
      <c r="H127" s="3">
        <v>1408.8</v>
      </c>
      <c r="I127" s="219">
        <v>1408.8</v>
      </c>
      <c r="J127" s="3">
        <v>1318.4</v>
      </c>
      <c r="K127" s="216">
        <v>1318.4</v>
      </c>
      <c r="L127" s="1">
        <v>1004.6</v>
      </c>
      <c r="M127" s="3">
        <v>150.10000000000002</v>
      </c>
      <c r="N127" s="25">
        <v>41.59662125791893</v>
      </c>
      <c r="O127" s="25">
        <v>71.30891538898354</v>
      </c>
      <c r="P127" s="25">
        <v>76.19842233009709</v>
      </c>
      <c r="Q127" s="25">
        <v>-404.19999999999993</v>
      </c>
      <c r="R127" s="25">
        <v>-313.80000000000007</v>
      </c>
      <c r="S127" s="88">
        <v>0</v>
      </c>
      <c r="T127" s="89">
        <v>0</v>
      </c>
      <c r="U127" s="89">
        <v>0</v>
      </c>
      <c r="V127" s="89">
        <v>0</v>
      </c>
      <c r="W127" s="90">
        <v>0</v>
      </c>
    </row>
    <row r="128" spans="1:23" s="91" customFormat="1" ht="154.5" customHeight="1">
      <c r="A128" s="39" t="s">
        <v>291</v>
      </c>
      <c r="B128" s="40">
        <v>41036100</v>
      </c>
      <c r="C128" s="22">
        <v>3238.3</v>
      </c>
      <c r="D128" s="7">
        <v>0</v>
      </c>
      <c r="E128" s="25">
        <v>0</v>
      </c>
      <c r="F128" s="93" t="e">
        <v>#DIV/0!</v>
      </c>
      <c r="G128" s="22"/>
      <c r="H128" s="22">
        <v>0</v>
      </c>
      <c r="I128" s="216">
        <v>0</v>
      </c>
      <c r="J128" s="3"/>
      <c r="K128" s="216"/>
      <c r="L128" s="3"/>
      <c r="M128" s="3">
        <v>0</v>
      </c>
      <c r="N128" s="14" t="e">
        <v>#DIV/0!</v>
      </c>
      <c r="O128" s="93" t="e">
        <v>#DIV/0!</v>
      </c>
      <c r="P128" s="93" t="e">
        <v>#DIV/0!</v>
      </c>
      <c r="Q128" s="25">
        <v>0</v>
      </c>
      <c r="R128" s="25">
        <v>0</v>
      </c>
      <c r="S128" s="88">
        <v>0</v>
      </c>
      <c r="T128" s="89">
        <v>0</v>
      </c>
      <c r="U128" s="89" t="e">
        <v>#DIV/0!</v>
      </c>
      <c r="V128" s="89" t="e">
        <v>#DIV/0!</v>
      </c>
      <c r="W128" s="90" t="e">
        <v>#DIV/0!</v>
      </c>
    </row>
    <row r="129" spans="1:23" s="91" customFormat="1" ht="318.75" customHeight="1" hidden="1">
      <c r="A129" s="39" t="s">
        <v>162</v>
      </c>
      <c r="B129" s="40">
        <v>41036600</v>
      </c>
      <c r="C129" s="22"/>
      <c r="D129" s="7"/>
      <c r="E129" s="14" t="e">
        <v>#DIV/0!</v>
      </c>
      <c r="F129" s="14" t="e">
        <v>#DIV/0!</v>
      </c>
      <c r="G129" s="22"/>
      <c r="H129" s="22">
        <v>0</v>
      </c>
      <c r="I129" s="216">
        <v>0</v>
      </c>
      <c r="J129" s="3"/>
      <c r="K129" s="216"/>
      <c r="L129" s="3"/>
      <c r="M129" s="3"/>
      <c r="N129" s="14" t="e">
        <v>#DIV/0!</v>
      </c>
      <c r="O129" s="14" t="e">
        <v>#DIV/0!</v>
      </c>
      <c r="P129" s="14" t="e">
        <v>#DIV/0!</v>
      </c>
      <c r="Q129" s="25">
        <v>0</v>
      </c>
      <c r="R129" s="25">
        <v>0</v>
      </c>
      <c r="S129" s="88">
        <v>0</v>
      </c>
      <c r="T129" s="89">
        <v>0</v>
      </c>
      <c r="U129" s="89" t="e">
        <v>#DIV/0!</v>
      </c>
      <c r="V129" s="89" t="e">
        <v>#DIV/0!</v>
      </c>
      <c r="W129" s="90" t="e">
        <v>#DIV/0!</v>
      </c>
    </row>
    <row r="130" spans="1:23" s="91" customFormat="1" ht="67.5" customHeight="1" hidden="1">
      <c r="A130" s="26" t="s">
        <v>301</v>
      </c>
      <c r="B130" s="27">
        <v>41037000</v>
      </c>
      <c r="C130" s="3"/>
      <c r="D130" s="3"/>
      <c r="E130" s="25">
        <v>0</v>
      </c>
      <c r="F130" s="14" t="e">
        <v>#DIV/0!</v>
      </c>
      <c r="G130" s="3"/>
      <c r="H130" s="3">
        <v>0</v>
      </c>
      <c r="I130" s="216">
        <v>0</v>
      </c>
      <c r="J130" s="3"/>
      <c r="K130" s="216"/>
      <c r="L130" s="3"/>
      <c r="M130" s="3"/>
      <c r="N130" s="14" t="e">
        <v>#DIV/0!</v>
      </c>
      <c r="O130" s="14" t="e">
        <v>#DIV/0!</v>
      </c>
      <c r="P130" s="14" t="e">
        <v>#DIV/0!</v>
      </c>
      <c r="Q130" s="25">
        <v>0</v>
      </c>
      <c r="R130" s="25">
        <v>0</v>
      </c>
      <c r="S130" s="88">
        <v>0</v>
      </c>
      <c r="T130" s="89">
        <v>0</v>
      </c>
      <c r="U130" s="89" t="e">
        <v>#DIV/0!</v>
      </c>
      <c r="V130" s="89" t="e">
        <v>#DIV/0!</v>
      </c>
      <c r="W130" s="90" t="e">
        <v>#DIV/0!</v>
      </c>
    </row>
    <row r="131" spans="1:23" s="92" customFormat="1" ht="42.75" customHeight="1" hidden="1">
      <c r="A131" s="26" t="s">
        <v>111</v>
      </c>
      <c r="B131" s="27">
        <v>41036300</v>
      </c>
      <c r="C131" s="3"/>
      <c r="D131" s="3"/>
      <c r="E131" s="25">
        <v>0</v>
      </c>
      <c r="F131" s="14" t="e">
        <v>#DIV/0!</v>
      </c>
      <c r="G131" s="3"/>
      <c r="H131" s="3">
        <v>0</v>
      </c>
      <c r="I131" s="216">
        <v>0</v>
      </c>
      <c r="J131" s="3"/>
      <c r="K131" s="216"/>
      <c r="L131" s="3"/>
      <c r="M131" s="3"/>
      <c r="N131" s="25" t="e">
        <v>#DIV/0!</v>
      </c>
      <c r="O131" s="6" t="e">
        <v>#DIV/0!</v>
      </c>
      <c r="P131" s="25" t="e">
        <v>#DIV/0!</v>
      </c>
      <c r="Q131" s="25">
        <v>0</v>
      </c>
      <c r="R131" s="25">
        <v>0</v>
      </c>
      <c r="S131" s="88">
        <v>0</v>
      </c>
      <c r="T131" s="89">
        <v>0</v>
      </c>
      <c r="U131" s="89" t="e">
        <v>#DIV/0!</v>
      </c>
      <c r="V131" s="89" t="e">
        <v>#DIV/0!</v>
      </c>
      <c r="W131" s="90" t="e">
        <v>#DIV/0!</v>
      </c>
    </row>
    <row r="132" spans="1:23" s="92" customFormat="1" ht="325.5" customHeight="1">
      <c r="A132" s="41" t="s">
        <v>162</v>
      </c>
      <c r="B132" s="42">
        <v>41036600</v>
      </c>
      <c r="C132" s="3"/>
      <c r="D132" s="3"/>
      <c r="E132" s="25">
        <v>0</v>
      </c>
      <c r="F132" s="228" t="e">
        <v>#DIV/0!</v>
      </c>
      <c r="G132" s="3">
        <v>23863.4</v>
      </c>
      <c r="H132" s="3">
        <v>13920.3</v>
      </c>
      <c r="I132" s="216">
        <v>13920.3</v>
      </c>
      <c r="J132" s="3">
        <v>23863.5</v>
      </c>
      <c r="K132" s="216">
        <v>23863.5</v>
      </c>
      <c r="L132" s="3"/>
      <c r="M132" s="3">
        <v>0</v>
      </c>
      <c r="N132" s="14">
        <v>0</v>
      </c>
      <c r="O132" s="14">
        <v>0</v>
      </c>
      <c r="P132" s="14">
        <v>0</v>
      </c>
      <c r="Q132" s="25">
        <v>-13920.3</v>
      </c>
      <c r="R132" s="25">
        <v>-23863.5</v>
      </c>
      <c r="S132" s="88">
        <v>0</v>
      </c>
      <c r="T132" s="89">
        <v>0</v>
      </c>
      <c r="U132" s="89">
        <v>0</v>
      </c>
      <c r="V132" s="89">
        <v>0</v>
      </c>
      <c r="W132" s="90">
        <v>0</v>
      </c>
    </row>
    <row r="133" spans="1:23" s="92" customFormat="1" ht="109.5" customHeight="1" hidden="1">
      <c r="A133" s="29" t="s">
        <v>154</v>
      </c>
      <c r="B133" s="30">
        <v>41039700</v>
      </c>
      <c r="C133" s="3"/>
      <c r="D133" s="3"/>
      <c r="E133" s="25">
        <v>0</v>
      </c>
      <c r="F133" s="14" t="e">
        <v>#DIV/0!</v>
      </c>
      <c r="G133" s="3"/>
      <c r="H133" s="3">
        <v>0</v>
      </c>
      <c r="I133" s="216">
        <v>0</v>
      </c>
      <c r="J133" s="3"/>
      <c r="K133" s="216"/>
      <c r="L133" s="3"/>
      <c r="M133" s="3"/>
      <c r="N133" s="14" t="e">
        <v>#DIV/0!</v>
      </c>
      <c r="O133" s="14" t="e">
        <v>#DIV/0!</v>
      </c>
      <c r="P133" s="14" t="e">
        <v>#DIV/0!</v>
      </c>
      <c r="Q133" s="25">
        <v>0</v>
      </c>
      <c r="R133" s="25">
        <v>0</v>
      </c>
      <c r="S133" s="88">
        <v>0</v>
      </c>
      <c r="T133" s="89">
        <v>0</v>
      </c>
      <c r="U133" s="89" t="e">
        <v>#DIV/0!</v>
      </c>
      <c r="V133" s="89" t="e">
        <v>#DIV/0!</v>
      </c>
      <c r="W133" s="90" t="e">
        <v>#DIV/0!</v>
      </c>
    </row>
    <row r="134" spans="1:23" s="147" customFormat="1" ht="25.5" customHeight="1">
      <c r="A134" s="114" t="s">
        <v>236</v>
      </c>
      <c r="B134" s="43"/>
      <c r="C134" s="9">
        <v>2283243.4</v>
      </c>
      <c r="D134" s="9">
        <v>1205532.19069</v>
      </c>
      <c r="E134" s="44">
        <v>444913.5093099999</v>
      </c>
      <c r="F134" s="44">
        <v>136.90598332802284</v>
      </c>
      <c r="G134" s="45">
        <v>2655939.9</v>
      </c>
      <c r="H134" s="45">
        <v>1549298.2999999998</v>
      </c>
      <c r="I134" s="218">
        <v>1549298.2999999998</v>
      </c>
      <c r="J134" s="45">
        <v>1702453.2000000002</v>
      </c>
      <c r="K134" s="218">
        <v>1702453.2000000002</v>
      </c>
      <c r="L134" s="45">
        <v>1650445.7</v>
      </c>
      <c r="M134" s="45">
        <v>225782.8</v>
      </c>
      <c r="N134" s="45">
        <v>62.14168099210377</v>
      </c>
      <c r="O134" s="44">
        <v>106.52859426748226</v>
      </c>
      <c r="P134" s="45">
        <v>96.94514363155473</v>
      </c>
      <c r="Q134" s="44">
        <v>101147.40000000014</v>
      </c>
      <c r="R134" s="45">
        <v>-52007.50000000023</v>
      </c>
      <c r="S134" s="88">
        <v>0</v>
      </c>
      <c r="T134" s="89">
        <v>0</v>
      </c>
      <c r="U134" s="89">
        <v>0</v>
      </c>
      <c r="V134" s="89">
        <v>0</v>
      </c>
      <c r="W134" s="90">
        <v>0</v>
      </c>
    </row>
    <row r="135" spans="1:23" s="92" customFormat="1" ht="21.75" customHeight="1">
      <c r="A135" s="813" t="s">
        <v>237</v>
      </c>
      <c r="B135" s="814"/>
      <c r="C135" s="814"/>
      <c r="D135" s="814"/>
      <c r="E135" s="814"/>
      <c r="F135" s="814"/>
      <c r="G135" s="814"/>
      <c r="H135" s="814"/>
      <c r="I135" s="814"/>
      <c r="J135" s="814"/>
      <c r="K135" s="814"/>
      <c r="L135" s="814"/>
      <c r="M135" s="814"/>
      <c r="N135" s="814"/>
      <c r="O135" s="814"/>
      <c r="P135" s="814"/>
      <c r="Q135" s="814"/>
      <c r="R135" s="815"/>
      <c r="S135" s="88">
        <v>0</v>
      </c>
      <c r="T135" s="89">
        <v>0</v>
      </c>
      <c r="U135" s="89" t="e">
        <v>#DIV/0!</v>
      </c>
      <c r="V135" s="89" t="e">
        <v>#DIV/0!</v>
      </c>
      <c r="W135" s="90" t="e">
        <v>#DIV/0!</v>
      </c>
    </row>
    <row r="136" spans="1:23" s="150" customFormat="1" ht="23.25" customHeight="1">
      <c r="A136" s="46" t="s">
        <v>66</v>
      </c>
      <c r="B136" s="47">
        <v>10000000</v>
      </c>
      <c r="C136" s="10">
        <v>3100.7000000000003</v>
      </c>
      <c r="D136" s="10">
        <v>1742.92667</v>
      </c>
      <c r="E136" s="6">
        <v>278.57332999999994</v>
      </c>
      <c r="F136" s="6">
        <v>115.9830780488315</v>
      </c>
      <c r="G136" s="10">
        <v>3451.1</v>
      </c>
      <c r="H136" s="10">
        <v>2013.1</v>
      </c>
      <c r="I136" s="209">
        <v>2013.1</v>
      </c>
      <c r="J136" s="10">
        <v>1939.6</v>
      </c>
      <c r="K136" s="209">
        <v>1939.6</v>
      </c>
      <c r="L136" s="10">
        <v>2021.5</v>
      </c>
      <c r="M136" s="10">
        <v>19.899999999999864</v>
      </c>
      <c r="N136" s="10">
        <v>58.575526643678835</v>
      </c>
      <c r="O136" s="6">
        <v>100.41726690179327</v>
      </c>
      <c r="P136" s="10">
        <v>104.22252010723861</v>
      </c>
      <c r="Q136" s="6">
        <v>8.400000000000091</v>
      </c>
      <c r="R136" s="10">
        <v>81.90000000000009</v>
      </c>
      <c r="S136" s="88">
        <v>0</v>
      </c>
      <c r="T136" s="89">
        <v>0</v>
      </c>
      <c r="U136" s="89">
        <v>0</v>
      </c>
      <c r="V136" s="89">
        <v>0</v>
      </c>
      <c r="W136" s="90">
        <v>0</v>
      </c>
    </row>
    <row r="137" spans="1:23" s="150" customFormat="1" ht="21.75" customHeight="1">
      <c r="A137" s="48" t="s">
        <v>265</v>
      </c>
      <c r="B137" s="47">
        <v>12000000</v>
      </c>
      <c r="C137" s="10">
        <v>10.2</v>
      </c>
      <c r="D137" s="10">
        <v>8.72667</v>
      </c>
      <c r="E137" s="6">
        <v>-8.026670000000001</v>
      </c>
      <c r="F137" s="6">
        <v>8.021387310394456</v>
      </c>
      <c r="G137" s="10">
        <v>0</v>
      </c>
      <c r="H137" s="10">
        <v>0</v>
      </c>
      <c r="I137" s="209"/>
      <c r="J137" s="10">
        <v>0</v>
      </c>
      <c r="K137" s="209">
        <v>0</v>
      </c>
      <c r="L137" s="10">
        <v>0.7</v>
      </c>
      <c r="M137" s="10">
        <v>0</v>
      </c>
      <c r="N137" s="49" t="e">
        <v>#DIV/0!</v>
      </c>
      <c r="O137" s="50" t="e">
        <v>#DIV/0!</v>
      </c>
      <c r="P137" s="49" t="e">
        <v>#DIV/0!</v>
      </c>
      <c r="Q137" s="6">
        <v>0.7</v>
      </c>
      <c r="R137" s="10">
        <v>0.7</v>
      </c>
      <c r="S137" s="88">
        <v>0</v>
      </c>
      <c r="T137" s="89">
        <v>0</v>
      </c>
      <c r="U137" s="89" t="e">
        <v>#DIV/0!</v>
      </c>
      <c r="V137" s="89" t="e">
        <v>#DIV/0!</v>
      </c>
      <c r="W137" s="90" t="e">
        <v>#DIV/0!</v>
      </c>
    </row>
    <row r="138" spans="1:23" s="92" customFormat="1" ht="48.75" customHeight="1">
      <c r="A138" s="51" t="s">
        <v>238</v>
      </c>
      <c r="B138" s="27">
        <v>12020000</v>
      </c>
      <c r="C138" s="7">
        <v>10.2</v>
      </c>
      <c r="D138" s="7">
        <v>8.72667</v>
      </c>
      <c r="E138" s="25">
        <v>-8.026670000000001</v>
      </c>
      <c r="F138" s="25">
        <v>8.021387310394456</v>
      </c>
      <c r="G138" s="7"/>
      <c r="H138" s="7">
        <v>0</v>
      </c>
      <c r="I138" s="219"/>
      <c r="J138" s="7"/>
      <c r="K138" s="219"/>
      <c r="L138" s="7">
        <v>0.7</v>
      </c>
      <c r="M138" s="121">
        <v>0</v>
      </c>
      <c r="N138" s="52" t="e">
        <v>#DIV/0!</v>
      </c>
      <c r="O138" s="50" t="e">
        <v>#DIV/0!</v>
      </c>
      <c r="P138" s="52" t="e">
        <v>#DIV/0!</v>
      </c>
      <c r="Q138" s="25">
        <v>0.7</v>
      </c>
      <c r="R138" s="7">
        <v>0.7</v>
      </c>
      <c r="S138" s="88">
        <v>0</v>
      </c>
      <c r="T138" s="89">
        <v>0</v>
      </c>
      <c r="U138" s="89" t="e">
        <v>#DIV/0!</v>
      </c>
      <c r="V138" s="89" t="e">
        <v>#DIV/0!</v>
      </c>
      <c r="W138" s="90" t="e">
        <v>#DIV/0!</v>
      </c>
    </row>
    <row r="139" spans="1:23" s="147" customFormat="1" ht="30.75" customHeight="1" hidden="1">
      <c r="A139" s="53" t="s">
        <v>239</v>
      </c>
      <c r="B139" s="43" t="s">
        <v>240</v>
      </c>
      <c r="C139" s="10"/>
      <c r="D139" s="10"/>
      <c r="E139" s="6">
        <v>0</v>
      </c>
      <c r="F139" s="50" t="e">
        <v>#DIV/0!</v>
      </c>
      <c r="G139" s="10"/>
      <c r="H139" s="10">
        <v>0</v>
      </c>
      <c r="I139" s="209">
        <v>0</v>
      </c>
      <c r="J139" s="10"/>
      <c r="K139" s="209"/>
      <c r="L139" s="10"/>
      <c r="M139" s="3"/>
      <c r="N139" s="54" t="e">
        <v>#DIV/0!</v>
      </c>
      <c r="O139" s="50" t="e">
        <v>#DIV/0!</v>
      </c>
      <c r="P139" s="54" t="e">
        <v>#DIV/0!</v>
      </c>
      <c r="Q139" s="6">
        <v>0</v>
      </c>
      <c r="R139" s="10">
        <v>0</v>
      </c>
      <c r="S139" s="88">
        <v>0</v>
      </c>
      <c r="T139" s="89">
        <v>0</v>
      </c>
      <c r="U139" s="89" t="e">
        <v>#DIV/0!</v>
      </c>
      <c r="V139" s="89" t="e">
        <v>#DIV/0!</v>
      </c>
      <c r="W139" s="90" t="e">
        <v>#DIV/0!</v>
      </c>
    </row>
    <row r="140" spans="1:23" s="150" customFormat="1" ht="19.5" customHeight="1">
      <c r="A140" s="48" t="s">
        <v>73</v>
      </c>
      <c r="B140" s="55">
        <v>18000000</v>
      </c>
      <c r="C140" s="10">
        <v>-3.8</v>
      </c>
      <c r="D140" s="10">
        <v>-2.8</v>
      </c>
      <c r="E140" s="6">
        <v>2.8</v>
      </c>
      <c r="F140" s="110">
        <v>0</v>
      </c>
      <c r="G140" s="10">
        <v>0</v>
      </c>
      <c r="H140" s="10">
        <v>0</v>
      </c>
      <c r="I140" s="209"/>
      <c r="J140" s="10">
        <v>0</v>
      </c>
      <c r="K140" s="209">
        <v>0</v>
      </c>
      <c r="L140" s="10">
        <v>0</v>
      </c>
      <c r="M140" s="10">
        <v>0</v>
      </c>
      <c r="N140" s="49" t="e">
        <v>#DIV/0!</v>
      </c>
      <c r="O140" s="50" t="e">
        <v>#DIV/0!</v>
      </c>
      <c r="P140" s="49" t="e">
        <v>#DIV/0!</v>
      </c>
      <c r="Q140" s="6">
        <v>0</v>
      </c>
      <c r="R140" s="10">
        <v>0</v>
      </c>
      <c r="S140" s="88">
        <v>0</v>
      </c>
      <c r="T140" s="89">
        <v>0</v>
      </c>
      <c r="U140" s="89" t="e">
        <v>#DIV/0!</v>
      </c>
      <c r="V140" s="89" t="e">
        <v>#DIV/0!</v>
      </c>
      <c r="W140" s="90" t="e">
        <v>#DIV/0!</v>
      </c>
    </row>
    <row r="141" spans="1:23" s="152" customFormat="1" ht="42.75" customHeight="1" hidden="1">
      <c r="A141" s="56" t="s">
        <v>241</v>
      </c>
      <c r="B141" s="30" t="s">
        <v>242</v>
      </c>
      <c r="C141" s="7"/>
      <c r="D141" s="7"/>
      <c r="E141" s="25">
        <v>0</v>
      </c>
      <c r="F141" s="14" t="e">
        <v>#DIV/0!</v>
      </c>
      <c r="G141" s="7"/>
      <c r="H141" s="7">
        <v>0</v>
      </c>
      <c r="I141" s="219">
        <v>0</v>
      </c>
      <c r="J141" s="7"/>
      <c r="K141" s="219"/>
      <c r="L141" s="7"/>
      <c r="M141" s="3"/>
      <c r="N141" s="57" t="e">
        <v>#DIV/0!</v>
      </c>
      <c r="O141" s="14" t="e">
        <v>#DIV/0!</v>
      </c>
      <c r="P141" s="57" t="e">
        <v>#DIV/0!</v>
      </c>
      <c r="Q141" s="25">
        <v>0</v>
      </c>
      <c r="R141" s="25">
        <v>0</v>
      </c>
      <c r="S141" s="88">
        <v>0</v>
      </c>
      <c r="T141" s="89">
        <v>0</v>
      </c>
      <c r="U141" s="89" t="e">
        <v>#DIV/0!</v>
      </c>
      <c r="V141" s="89" t="e">
        <v>#DIV/0!</v>
      </c>
      <c r="W141" s="90" t="e">
        <v>#DIV/0!</v>
      </c>
    </row>
    <row r="142" spans="1:23" s="92" customFormat="1" ht="47.25" customHeight="1">
      <c r="A142" s="58" t="s">
        <v>128</v>
      </c>
      <c r="B142" s="27" t="s">
        <v>75</v>
      </c>
      <c r="C142" s="7">
        <v>-3.8</v>
      </c>
      <c r="D142" s="7">
        <v>-2.8</v>
      </c>
      <c r="E142" s="25">
        <v>2.8</v>
      </c>
      <c r="F142" s="93">
        <v>0</v>
      </c>
      <c r="G142" s="7">
        <v>0</v>
      </c>
      <c r="H142" s="7">
        <v>0</v>
      </c>
      <c r="I142" s="219"/>
      <c r="J142" s="7">
        <v>0</v>
      </c>
      <c r="K142" s="219">
        <v>0</v>
      </c>
      <c r="L142" s="7">
        <v>0</v>
      </c>
      <c r="M142" s="7">
        <v>0</v>
      </c>
      <c r="N142" s="57" t="e">
        <v>#DIV/0!</v>
      </c>
      <c r="O142" s="14" t="e">
        <v>#DIV/0!</v>
      </c>
      <c r="P142" s="57" t="e">
        <v>#DIV/0!</v>
      </c>
      <c r="Q142" s="25">
        <v>0</v>
      </c>
      <c r="R142" s="7">
        <v>0</v>
      </c>
      <c r="S142" s="88">
        <v>0</v>
      </c>
      <c r="T142" s="89">
        <v>0</v>
      </c>
      <c r="U142" s="89" t="e">
        <v>#DIV/0!</v>
      </c>
      <c r="V142" s="89" t="e">
        <v>#DIV/0!</v>
      </c>
      <c r="W142" s="90" t="e">
        <v>#DIV/0!</v>
      </c>
    </row>
    <row r="143" spans="1:23" s="145" customFormat="1" ht="111" customHeight="1">
      <c r="A143" s="59" t="s">
        <v>299</v>
      </c>
      <c r="B143" s="33" t="s">
        <v>243</v>
      </c>
      <c r="C143" s="22">
        <v>-3.8</v>
      </c>
      <c r="D143" s="22">
        <v>-2.8</v>
      </c>
      <c r="E143" s="25">
        <v>2.8</v>
      </c>
      <c r="F143" s="93">
        <v>0</v>
      </c>
      <c r="G143" s="22"/>
      <c r="H143" s="22">
        <v>0</v>
      </c>
      <c r="I143" s="220"/>
      <c r="J143" s="22"/>
      <c r="K143" s="220"/>
      <c r="L143" s="22"/>
      <c r="M143" s="3">
        <v>0</v>
      </c>
      <c r="N143" s="60" t="e">
        <v>#DIV/0!</v>
      </c>
      <c r="O143" s="14" t="e">
        <v>#DIV/0!</v>
      </c>
      <c r="P143" s="60" t="e">
        <v>#DIV/0!</v>
      </c>
      <c r="Q143" s="25">
        <v>0</v>
      </c>
      <c r="R143" s="7">
        <v>0</v>
      </c>
      <c r="S143" s="88">
        <v>0</v>
      </c>
      <c r="T143" s="89">
        <v>0</v>
      </c>
      <c r="U143" s="89" t="e">
        <v>#DIV/0!</v>
      </c>
      <c r="V143" s="89" t="e">
        <v>#DIV/0!</v>
      </c>
      <c r="W143" s="90" t="e">
        <v>#DIV/0!</v>
      </c>
    </row>
    <row r="144" spans="1:24" s="145" customFormat="1" ht="42.75" customHeight="1" hidden="1">
      <c r="A144" s="29" t="s">
        <v>244</v>
      </c>
      <c r="B144" s="30" t="s">
        <v>245</v>
      </c>
      <c r="C144" s="7"/>
      <c r="D144" s="7"/>
      <c r="E144" s="25">
        <v>0</v>
      </c>
      <c r="F144" s="14" t="e">
        <v>#DIV/0!</v>
      </c>
      <c r="G144" s="7"/>
      <c r="H144" s="7">
        <v>0</v>
      </c>
      <c r="I144" s="219">
        <v>0</v>
      </c>
      <c r="J144" s="7"/>
      <c r="K144" s="219"/>
      <c r="L144" s="7"/>
      <c r="M144" s="3"/>
      <c r="N144" s="52" t="e">
        <v>#DIV/0!</v>
      </c>
      <c r="O144" s="14" t="e">
        <v>#DIV/0!</v>
      </c>
      <c r="P144" s="52" t="e">
        <v>#DIV/0!</v>
      </c>
      <c r="Q144" s="25">
        <v>0</v>
      </c>
      <c r="R144" s="7">
        <v>0</v>
      </c>
      <c r="S144" s="88">
        <v>0</v>
      </c>
      <c r="T144" s="89">
        <v>0</v>
      </c>
      <c r="U144" s="89" t="e">
        <v>#DIV/0!</v>
      </c>
      <c r="V144" s="89" t="e">
        <v>#DIV/0!</v>
      </c>
      <c r="W144" s="90" t="e">
        <v>#DIV/0!</v>
      </c>
      <c r="X144" s="178">
        <v>4797.2</v>
      </c>
    </row>
    <row r="145" spans="1:24" s="145" customFormat="1" ht="27.75" customHeight="1">
      <c r="A145" s="61" t="s">
        <v>76</v>
      </c>
      <c r="B145" s="55" t="s">
        <v>246</v>
      </c>
      <c r="C145" s="10">
        <v>3094.3</v>
      </c>
      <c r="D145" s="10">
        <v>1737</v>
      </c>
      <c r="E145" s="6">
        <v>283.79999999999995</v>
      </c>
      <c r="F145" s="6">
        <v>116.3385146804836</v>
      </c>
      <c r="G145" s="10">
        <v>3451.1</v>
      </c>
      <c r="H145" s="10">
        <v>2013.1</v>
      </c>
      <c r="I145" s="209">
        <v>2013.1</v>
      </c>
      <c r="J145" s="10">
        <v>1939.6</v>
      </c>
      <c r="K145" s="209">
        <v>1939.6</v>
      </c>
      <c r="L145" s="10">
        <v>2020.8</v>
      </c>
      <c r="M145" s="10">
        <v>19.899999999999864</v>
      </c>
      <c r="N145" s="62">
        <v>58.555243255773526</v>
      </c>
      <c r="O145" s="6">
        <v>100.38249465997716</v>
      </c>
      <c r="P145" s="62">
        <v>104.18643019179213</v>
      </c>
      <c r="Q145" s="6">
        <v>7.7000000000000455</v>
      </c>
      <c r="R145" s="10">
        <v>81.20000000000005</v>
      </c>
      <c r="S145" s="88">
        <v>0</v>
      </c>
      <c r="T145" s="89">
        <v>0</v>
      </c>
      <c r="U145" s="89">
        <v>0</v>
      </c>
      <c r="V145" s="89">
        <v>0</v>
      </c>
      <c r="W145" s="90">
        <v>0</v>
      </c>
      <c r="X145" s="145" t="e">
        <v>#DIV/0!</v>
      </c>
    </row>
    <row r="146" spans="1:23" s="145" customFormat="1" ht="26.25" customHeight="1">
      <c r="A146" s="29" t="s">
        <v>247</v>
      </c>
      <c r="B146" s="30" t="s">
        <v>248</v>
      </c>
      <c r="C146" s="3">
        <v>3094.3</v>
      </c>
      <c r="D146" s="7">
        <v>1737</v>
      </c>
      <c r="E146" s="25">
        <v>283.79999999999995</v>
      </c>
      <c r="F146" s="25">
        <v>116.3385146804836</v>
      </c>
      <c r="G146" s="7">
        <v>3451.1</v>
      </c>
      <c r="H146" s="7">
        <v>2013.1</v>
      </c>
      <c r="I146" s="219">
        <v>2013.1</v>
      </c>
      <c r="J146" s="7">
        <v>1939.6</v>
      </c>
      <c r="K146" s="219">
        <v>1939.6</v>
      </c>
      <c r="L146" s="7">
        <v>2020.8</v>
      </c>
      <c r="M146" s="3">
        <v>19.899999999999864</v>
      </c>
      <c r="N146" s="63">
        <v>58.555243255773526</v>
      </c>
      <c r="O146" s="25">
        <v>100.38249465997716</v>
      </c>
      <c r="P146" s="63">
        <v>104.18643019179213</v>
      </c>
      <c r="Q146" s="25">
        <v>7.7000000000000455</v>
      </c>
      <c r="R146" s="7">
        <v>81.20000000000005</v>
      </c>
      <c r="S146" s="88">
        <v>0</v>
      </c>
      <c r="T146" s="89">
        <v>0</v>
      </c>
      <c r="U146" s="89">
        <v>0</v>
      </c>
      <c r="V146" s="89">
        <v>0</v>
      </c>
      <c r="W146" s="90">
        <v>0</v>
      </c>
    </row>
    <row r="147" spans="1:23" s="150" customFormat="1" ht="27" customHeight="1">
      <c r="A147" s="61" t="s">
        <v>77</v>
      </c>
      <c r="B147" s="55">
        <v>20000000</v>
      </c>
      <c r="C147" s="10">
        <v>64560.899999999994</v>
      </c>
      <c r="D147" s="10">
        <v>33251.7</v>
      </c>
      <c r="E147" s="6">
        <v>3875.0999999999985</v>
      </c>
      <c r="F147" s="100">
        <v>111.65384025478396</v>
      </c>
      <c r="G147" s="10">
        <v>61092.1</v>
      </c>
      <c r="H147" s="10">
        <v>35637.1</v>
      </c>
      <c r="I147" s="209">
        <v>35637.1</v>
      </c>
      <c r="J147" s="10">
        <v>35966.2</v>
      </c>
      <c r="K147" s="209">
        <v>35966.2</v>
      </c>
      <c r="L147" s="10">
        <v>37126.799999999996</v>
      </c>
      <c r="M147" s="10">
        <v>4840.899999999996</v>
      </c>
      <c r="N147" s="10">
        <v>60.77185102492793</v>
      </c>
      <c r="O147" s="6">
        <v>104.18019423578238</v>
      </c>
      <c r="P147" s="10">
        <v>103.22691860691427</v>
      </c>
      <c r="Q147" s="6">
        <v>1489.699999999997</v>
      </c>
      <c r="R147" s="10">
        <v>1160.5999999999985</v>
      </c>
      <c r="S147" s="88">
        <v>0</v>
      </c>
      <c r="T147" s="89">
        <v>0</v>
      </c>
      <c r="U147" s="89">
        <v>0</v>
      </c>
      <c r="V147" s="89">
        <v>0</v>
      </c>
      <c r="W147" s="90">
        <v>0</v>
      </c>
    </row>
    <row r="148" spans="1:23" s="150" customFormat="1" ht="69.75" customHeight="1" hidden="1">
      <c r="A148" s="61" t="s">
        <v>115</v>
      </c>
      <c r="B148" s="55">
        <v>21110000</v>
      </c>
      <c r="C148" s="10"/>
      <c r="D148" s="10"/>
      <c r="E148" s="6">
        <v>0</v>
      </c>
      <c r="F148" s="50" t="e">
        <v>#DIV/0!</v>
      </c>
      <c r="G148" s="10"/>
      <c r="H148" s="10"/>
      <c r="I148" s="209"/>
      <c r="J148" s="10"/>
      <c r="K148" s="209"/>
      <c r="L148" s="10"/>
      <c r="M148" s="3">
        <v>0</v>
      </c>
      <c r="N148" s="49" t="e">
        <v>#DIV/0!</v>
      </c>
      <c r="O148" s="50" t="e">
        <v>#DIV/0!</v>
      </c>
      <c r="P148" s="49" t="e">
        <v>#DIV/0!</v>
      </c>
      <c r="Q148" s="6">
        <v>0</v>
      </c>
      <c r="R148" s="10">
        <v>0</v>
      </c>
      <c r="S148" s="88">
        <v>0</v>
      </c>
      <c r="T148" s="89">
        <v>0</v>
      </c>
      <c r="U148" s="89" t="e">
        <v>#DIV/0!</v>
      </c>
      <c r="V148" s="89" t="e">
        <v>#DIV/0!</v>
      </c>
      <c r="W148" s="90" t="e">
        <v>#DIV/0!</v>
      </c>
    </row>
    <row r="149" spans="1:23" s="150" customFormat="1" ht="21.75" customHeight="1">
      <c r="A149" s="61" t="s">
        <v>89</v>
      </c>
      <c r="B149" s="55">
        <v>24000000</v>
      </c>
      <c r="C149" s="10">
        <v>4781.2</v>
      </c>
      <c r="D149" s="10">
        <v>912.9</v>
      </c>
      <c r="E149" s="6">
        <v>2703.2000000000003</v>
      </c>
      <c r="F149" s="6">
        <v>396.111293679483</v>
      </c>
      <c r="G149" s="10">
        <v>2941</v>
      </c>
      <c r="H149" s="10">
        <v>1715.6</v>
      </c>
      <c r="I149" s="209">
        <v>1715.6</v>
      </c>
      <c r="J149" s="10">
        <v>2044.6999999999998</v>
      </c>
      <c r="K149" s="209">
        <v>2044.6999999999998</v>
      </c>
      <c r="L149" s="10">
        <v>3616.1000000000004</v>
      </c>
      <c r="M149" s="10">
        <v>1118.1000000000001</v>
      </c>
      <c r="N149" s="62">
        <v>122.95477728663722</v>
      </c>
      <c r="O149" s="6">
        <v>210.77757052926094</v>
      </c>
      <c r="P149" s="62">
        <v>176.8523499779919</v>
      </c>
      <c r="Q149" s="6">
        <v>1900.5000000000005</v>
      </c>
      <c r="R149" s="10">
        <v>1571.4000000000005</v>
      </c>
      <c r="S149" s="88">
        <v>0</v>
      </c>
      <c r="T149" s="89">
        <v>0</v>
      </c>
      <c r="U149" s="89">
        <v>0</v>
      </c>
      <c r="V149" s="89">
        <v>0</v>
      </c>
      <c r="W149" s="90">
        <v>0</v>
      </c>
    </row>
    <row r="150" spans="1:23" s="161" customFormat="1" ht="18" customHeight="1">
      <c r="A150" s="58" t="s">
        <v>292</v>
      </c>
      <c r="B150" s="30">
        <v>24060000</v>
      </c>
      <c r="C150" s="7">
        <v>551.8000000000001</v>
      </c>
      <c r="D150" s="7">
        <v>257.9</v>
      </c>
      <c r="E150" s="25">
        <v>-118.99999999999997</v>
      </c>
      <c r="F150" s="25">
        <v>53.858084528887176</v>
      </c>
      <c r="G150" s="7">
        <v>230</v>
      </c>
      <c r="H150" s="7">
        <v>134.2</v>
      </c>
      <c r="I150" s="219">
        <v>134.2</v>
      </c>
      <c r="J150" s="7">
        <v>102.2</v>
      </c>
      <c r="K150" s="219">
        <v>102.2</v>
      </c>
      <c r="L150" s="7">
        <v>138.9</v>
      </c>
      <c r="M150" s="7">
        <v>115.6</v>
      </c>
      <c r="N150" s="63">
        <v>60.39130434782609</v>
      </c>
      <c r="O150" s="25">
        <v>103.50223546944859</v>
      </c>
      <c r="P150" s="63">
        <v>135.90998043052838</v>
      </c>
      <c r="Q150" s="25">
        <v>4.700000000000017</v>
      </c>
      <c r="R150" s="7">
        <v>36.7</v>
      </c>
      <c r="S150" s="88">
        <v>0</v>
      </c>
      <c r="T150" s="89">
        <v>0</v>
      </c>
      <c r="U150" s="89">
        <v>0</v>
      </c>
      <c r="V150" s="89">
        <v>0</v>
      </c>
      <c r="W150" s="90">
        <v>0</v>
      </c>
    </row>
    <row r="151" spans="1:23" s="145" customFormat="1" ht="50.25" customHeight="1">
      <c r="A151" s="64" t="s">
        <v>249</v>
      </c>
      <c r="B151" s="33">
        <v>24061600</v>
      </c>
      <c r="C151" s="22">
        <v>468.1</v>
      </c>
      <c r="D151" s="22">
        <v>240.5</v>
      </c>
      <c r="E151" s="36">
        <v>-115.7</v>
      </c>
      <c r="F151" s="25">
        <v>51.891891891891895</v>
      </c>
      <c r="G151" s="22">
        <v>200</v>
      </c>
      <c r="H151" s="22">
        <v>116.7</v>
      </c>
      <c r="I151" s="219">
        <v>116.7</v>
      </c>
      <c r="J151" s="22">
        <v>96</v>
      </c>
      <c r="K151" s="220">
        <v>96</v>
      </c>
      <c r="L151" s="22">
        <v>124.8</v>
      </c>
      <c r="M151" s="3">
        <v>112.5</v>
      </c>
      <c r="N151" s="65">
        <v>62.4</v>
      </c>
      <c r="O151" s="36">
        <v>106.94087403598971</v>
      </c>
      <c r="P151" s="65">
        <v>130</v>
      </c>
      <c r="Q151" s="36">
        <v>8.099999999999994</v>
      </c>
      <c r="R151" s="22">
        <v>28.799999999999997</v>
      </c>
      <c r="S151" s="88">
        <v>0</v>
      </c>
      <c r="T151" s="89">
        <v>0</v>
      </c>
      <c r="U151" s="89">
        <v>0</v>
      </c>
      <c r="V151" s="89">
        <v>0</v>
      </c>
      <c r="W151" s="90">
        <v>0</v>
      </c>
    </row>
    <row r="152" spans="1:23" s="145" customFormat="1" ht="90.75" customHeight="1">
      <c r="A152" s="59" t="s">
        <v>250</v>
      </c>
      <c r="B152" s="33">
        <v>24062100</v>
      </c>
      <c r="C152" s="22">
        <v>83.7</v>
      </c>
      <c r="D152" s="22">
        <v>17.4</v>
      </c>
      <c r="E152" s="25">
        <v>-3.299999999999999</v>
      </c>
      <c r="F152" s="25">
        <v>81.0344827586207</v>
      </c>
      <c r="G152" s="22">
        <v>30</v>
      </c>
      <c r="H152" s="22">
        <v>17.5</v>
      </c>
      <c r="I152" s="219">
        <v>17.5</v>
      </c>
      <c r="J152" s="22">
        <v>6.2</v>
      </c>
      <c r="K152" s="220">
        <v>6.2</v>
      </c>
      <c r="L152" s="22">
        <v>14.1</v>
      </c>
      <c r="M152" s="3">
        <v>3.0999999999999996</v>
      </c>
      <c r="N152" s="22">
        <v>47</v>
      </c>
      <c r="O152" s="22">
        <v>80.57142857142857</v>
      </c>
      <c r="P152" s="22">
        <v>227.41935483870967</v>
      </c>
      <c r="Q152" s="22">
        <v>-3.4000000000000004</v>
      </c>
      <c r="R152" s="7">
        <v>7.8999999999999995</v>
      </c>
      <c r="S152" s="88">
        <v>0</v>
      </c>
      <c r="T152" s="89">
        <v>0</v>
      </c>
      <c r="U152" s="89">
        <v>0</v>
      </c>
      <c r="V152" s="89">
        <v>0</v>
      </c>
      <c r="W152" s="90">
        <v>0</v>
      </c>
    </row>
    <row r="153" spans="1:23" s="150" customFormat="1" ht="40.5" customHeight="1">
      <c r="A153" s="66" t="s">
        <v>251</v>
      </c>
      <c r="B153" s="67">
        <v>24110000</v>
      </c>
      <c r="C153" s="10">
        <v>129.7</v>
      </c>
      <c r="D153" s="10">
        <v>82.5</v>
      </c>
      <c r="E153" s="6">
        <v>42.80000000000001</v>
      </c>
      <c r="F153" s="6">
        <v>151.8787878787879</v>
      </c>
      <c r="G153" s="10">
        <v>189.9</v>
      </c>
      <c r="H153" s="10">
        <v>110.8</v>
      </c>
      <c r="I153" s="209">
        <v>110.8</v>
      </c>
      <c r="J153" s="10">
        <v>121.4</v>
      </c>
      <c r="K153" s="209">
        <v>121.4</v>
      </c>
      <c r="L153" s="10">
        <v>125.30000000000001</v>
      </c>
      <c r="M153" s="10">
        <v>30.60000000000001</v>
      </c>
      <c r="N153" s="62">
        <v>65.98209583991574</v>
      </c>
      <c r="O153" s="6">
        <v>113.08664259927798</v>
      </c>
      <c r="P153" s="62">
        <v>103.21252059308073</v>
      </c>
      <c r="Q153" s="6">
        <v>14.500000000000014</v>
      </c>
      <c r="R153" s="10">
        <v>3.9000000000000057</v>
      </c>
      <c r="S153" s="88">
        <v>0</v>
      </c>
      <c r="T153" s="89">
        <v>0</v>
      </c>
      <c r="U153" s="89">
        <v>0</v>
      </c>
      <c r="V153" s="89">
        <v>0</v>
      </c>
      <c r="W153" s="90">
        <v>0</v>
      </c>
    </row>
    <row r="154" spans="1:23" s="152" customFormat="1" ht="37.5" customHeight="1">
      <c r="A154" s="68" t="s">
        <v>252</v>
      </c>
      <c r="B154" s="69">
        <v>24110600</v>
      </c>
      <c r="C154" s="7">
        <v>128.1</v>
      </c>
      <c r="D154" s="7">
        <v>81.7</v>
      </c>
      <c r="E154" s="25">
        <v>39.400000000000006</v>
      </c>
      <c r="F154" s="25">
        <v>148.22521419828644</v>
      </c>
      <c r="G154" s="7">
        <v>188.5</v>
      </c>
      <c r="H154" s="7">
        <v>110</v>
      </c>
      <c r="I154" s="219">
        <v>110</v>
      </c>
      <c r="J154" s="7">
        <v>120.7</v>
      </c>
      <c r="K154" s="219">
        <v>120.7</v>
      </c>
      <c r="L154" s="7">
        <v>121.10000000000001</v>
      </c>
      <c r="M154" s="3">
        <v>30.60000000000001</v>
      </c>
      <c r="N154" s="7">
        <v>64.24403183023874</v>
      </c>
      <c r="O154" s="7">
        <v>110.09090909090911</v>
      </c>
      <c r="P154" s="63">
        <v>100.33140016570007</v>
      </c>
      <c r="Q154" s="25">
        <v>11.100000000000009</v>
      </c>
      <c r="R154" s="7">
        <v>0.4000000000000057</v>
      </c>
      <c r="S154" s="88">
        <v>0</v>
      </c>
      <c r="T154" s="89">
        <v>0</v>
      </c>
      <c r="U154" s="89">
        <v>0</v>
      </c>
      <c r="V154" s="89">
        <v>0</v>
      </c>
      <c r="W154" s="90">
        <v>0</v>
      </c>
    </row>
    <row r="155" spans="1:23" s="145" customFormat="1" ht="109.5" customHeight="1">
      <c r="A155" s="70" t="s">
        <v>253</v>
      </c>
      <c r="B155" s="71">
        <v>24110900</v>
      </c>
      <c r="C155" s="22">
        <v>1.6</v>
      </c>
      <c r="D155" s="22">
        <v>0.8</v>
      </c>
      <c r="E155" s="25">
        <v>3.4000000000000004</v>
      </c>
      <c r="F155" s="25">
        <v>525</v>
      </c>
      <c r="G155" s="22">
        <v>1.4</v>
      </c>
      <c r="H155" s="22">
        <v>0.8</v>
      </c>
      <c r="I155" s="219">
        <v>0.8</v>
      </c>
      <c r="J155" s="22">
        <v>0.7</v>
      </c>
      <c r="K155" s="220">
        <v>0.7</v>
      </c>
      <c r="L155" s="22">
        <v>4.2</v>
      </c>
      <c r="M155" s="3">
        <v>0</v>
      </c>
      <c r="N155" s="65">
        <v>300.00000000000006</v>
      </c>
      <c r="O155" s="25">
        <v>525</v>
      </c>
      <c r="P155" s="65">
        <v>600.0000000000001</v>
      </c>
      <c r="Q155" s="25">
        <v>3.4000000000000004</v>
      </c>
      <c r="R155" s="7">
        <v>3.5</v>
      </c>
      <c r="S155" s="88">
        <v>0</v>
      </c>
      <c r="T155" s="89">
        <v>0</v>
      </c>
      <c r="U155" s="89">
        <v>0</v>
      </c>
      <c r="V155" s="89">
        <v>0</v>
      </c>
      <c r="W155" s="90">
        <v>0</v>
      </c>
    </row>
    <row r="156" spans="1:23" s="150" customFormat="1" ht="54" customHeight="1">
      <c r="A156" s="66" t="s">
        <v>254</v>
      </c>
      <c r="B156" s="67">
        <v>24170000</v>
      </c>
      <c r="C156" s="10">
        <v>4099.7</v>
      </c>
      <c r="D156" s="10">
        <v>572.5</v>
      </c>
      <c r="E156" s="6">
        <v>2779.4</v>
      </c>
      <c r="F156" s="6">
        <v>585.4847161572053</v>
      </c>
      <c r="G156" s="10">
        <v>2521.1</v>
      </c>
      <c r="H156" s="10">
        <v>1470.6</v>
      </c>
      <c r="I156" s="209">
        <v>1470.6</v>
      </c>
      <c r="J156" s="10">
        <v>1821.1</v>
      </c>
      <c r="K156" s="209">
        <v>1821.1</v>
      </c>
      <c r="L156" s="10">
        <v>3351.9</v>
      </c>
      <c r="M156" s="9">
        <v>971.9000000000001</v>
      </c>
      <c r="N156" s="62">
        <v>132.95386934274723</v>
      </c>
      <c r="O156" s="6">
        <v>227.92737658098736</v>
      </c>
      <c r="P156" s="62">
        <v>184.0590851683049</v>
      </c>
      <c r="Q156" s="6">
        <v>1881.3000000000002</v>
      </c>
      <c r="R156" s="10">
        <v>1530.8000000000002</v>
      </c>
      <c r="S156" s="88">
        <v>0</v>
      </c>
      <c r="T156" s="89">
        <v>0</v>
      </c>
      <c r="U156" s="89">
        <v>0</v>
      </c>
      <c r="V156" s="89">
        <v>0</v>
      </c>
      <c r="W156" s="90">
        <v>0</v>
      </c>
    </row>
    <row r="157" spans="1:23" s="150" customFormat="1" ht="39.75" customHeight="1">
      <c r="A157" s="72" t="s">
        <v>255</v>
      </c>
      <c r="B157" s="55">
        <v>25000000</v>
      </c>
      <c r="C157" s="10">
        <v>59779.7</v>
      </c>
      <c r="D157" s="10">
        <v>32338.8</v>
      </c>
      <c r="E157" s="6">
        <v>1171.8999999999978</v>
      </c>
      <c r="F157" s="6">
        <v>103.62382030254678</v>
      </c>
      <c r="G157" s="10">
        <v>58151.1</v>
      </c>
      <c r="H157" s="10">
        <v>33921.5</v>
      </c>
      <c r="I157" s="209">
        <v>33921.5</v>
      </c>
      <c r="J157" s="10">
        <v>33921.5</v>
      </c>
      <c r="K157" s="209">
        <v>33921.5</v>
      </c>
      <c r="L157" s="10">
        <v>33510.7</v>
      </c>
      <c r="M157" s="9">
        <v>3722.7999999999956</v>
      </c>
      <c r="N157" s="62">
        <v>57.62694084892633</v>
      </c>
      <c r="O157" s="6">
        <v>98.78896864820246</v>
      </c>
      <c r="P157" s="62">
        <v>98.78896864820246</v>
      </c>
      <c r="Q157" s="6">
        <v>-410.8000000000029</v>
      </c>
      <c r="R157" s="10">
        <v>-410.8000000000029</v>
      </c>
      <c r="S157" s="88">
        <v>0</v>
      </c>
      <c r="T157" s="89">
        <v>0</v>
      </c>
      <c r="U157" s="89">
        <v>0</v>
      </c>
      <c r="V157" s="89">
        <v>0</v>
      </c>
      <c r="W157" s="90">
        <v>0</v>
      </c>
    </row>
    <row r="158" spans="1:23" s="150" customFormat="1" ht="36.75" customHeight="1">
      <c r="A158" s="72" t="s">
        <v>256</v>
      </c>
      <c r="B158" s="55">
        <v>30000000</v>
      </c>
      <c r="C158" s="10">
        <v>2762</v>
      </c>
      <c r="D158" s="10">
        <v>1462.6</v>
      </c>
      <c r="E158" s="6">
        <v>2446.7</v>
      </c>
      <c r="F158" s="6">
        <v>267.2842882537946</v>
      </c>
      <c r="G158" s="10">
        <v>2087.6</v>
      </c>
      <c r="H158" s="10">
        <v>1217.6999999999998</v>
      </c>
      <c r="I158" s="209">
        <v>1217.6999999999998</v>
      </c>
      <c r="J158" s="10">
        <v>539</v>
      </c>
      <c r="K158" s="209">
        <v>539</v>
      </c>
      <c r="L158" s="10">
        <v>3909.2999999999997</v>
      </c>
      <c r="M158" s="10">
        <v>2066.1</v>
      </c>
      <c r="N158" s="10">
        <v>187.26288561027016</v>
      </c>
      <c r="O158" s="6">
        <v>321.03966494210397</v>
      </c>
      <c r="P158" s="10">
        <v>725.2875695732838</v>
      </c>
      <c r="Q158" s="6">
        <v>2691.6</v>
      </c>
      <c r="R158" s="10">
        <v>3370.2999999999997</v>
      </c>
      <c r="S158" s="88">
        <v>0</v>
      </c>
      <c r="T158" s="89">
        <v>0</v>
      </c>
      <c r="U158" s="89">
        <v>0</v>
      </c>
      <c r="V158" s="89">
        <v>0</v>
      </c>
      <c r="W158" s="90">
        <v>0</v>
      </c>
    </row>
    <row r="159" spans="1:23" s="147" customFormat="1" ht="34.5" customHeight="1">
      <c r="A159" s="48" t="s">
        <v>266</v>
      </c>
      <c r="B159" s="43">
        <v>31000000</v>
      </c>
      <c r="C159" s="10">
        <v>2466</v>
      </c>
      <c r="D159" s="10">
        <v>1166.6</v>
      </c>
      <c r="E159" s="6">
        <v>1832.1</v>
      </c>
      <c r="F159" s="6">
        <v>257.04611692096694</v>
      </c>
      <c r="G159" s="10">
        <v>1000</v>
      </c>
      <c r="H159" s="10">
        <v>583.3</v>
      </c>
      <c r="I159" s="209">
        <v>583.3</v>
      </c>
      <c r="J159" s="10">
        <v>539</v>
      </c>
      <c r="K159" s="209">
        <v>539</v>
      </c>
      <c r="L159" s="10">
        <v>2998.7</v>
      </c>
      <c r="M159" s="10">
        <v>1477.1999999999998</v>
      </c>
      <c r="N159" s="62">
        <v>299.87</v>
      </c>
      <c r="O159" s="6">
        <v>514.0922338419339</v>
      </c>
      <c r="P159" s="62">
        <v>556.3450834879407</v>
      </c>
      <c r="Q159" s="6">
        <v>2415.3999999999996</v>
      </c>
      <c r="R159" s="10">
        <v>2459.7</v>
      </c>
      <c r="S159" s="88">
        <v>0</v>
      </c>
      <c r="T159" s="89">
        <v>0</v>
      </c>
      <c r="U159" s="89">
        <v>0</v>
      </c>
      <c r="V159" s="89">
        <v>0</v>
      </c>
      <c r="W159" s="90">
        <v>0</v>
      </c>
    </row>
    <row r="160" spans="1:23" s="91" customFormat="1" ht="62.25" customHeight="1">
      <c r="A160" s="73" t="s">
        <v>257</v>
      </c>
      <c r="B160" s="27">
        <v>31030000</v>
      </c>
      <c r="C160" s="7">
        <v>2466</v>
      </c>
      <c r="D160" s="7">
        <v>1166.6</v>
      </c>
      <c r="E160" s="25">
        <v>1832.1</v>
      </c>
      <c r="F160" s="25">
        <v>257.04611692096694</v>
      </c>
      <c r="G160" s="7">
        <v>1000</v>
      </c>
      <c r="H160" s="7">
        <v>583.3</v>
      </c>
      <c r="I160" s="219">
        <v>583.3</v>
      </c>
      <c r="J160" s="7">
        <v>539</v>
      </c>
      <c r="K160" s="219">
        <v>539</v>
      </c>
      <c r="L160" s="7">
        <v>2998.7</v>
      </c>
      <c r="M160" s="3">
        <v>1477.1999999999998</v>
      </c>
      <c r="N160" s="63">
        <v>299.87</v>
      </c>
      <c r="O160" s="25">
        <v>514.0922338419339</v>
      </c>
      <c r="P160" s="63">
        <v>556.3450834879407</v>
      </c>
      <c r="Q160" s="25">
        <v>2415.3999999999996</v>
      </c>
      <c r="R160" s="7">
        <v>2459.7</v>
      </c>
      <c r="S160" s="88">
        <v>0</v>
      </c>
      <c r="T160" s="89">
        <v>0</v>
      </c>
      <c r="U160" s="89">
        <v>0</v>
      </c>
      <c r="V160" s="89">
        <v>0</v>
      </c>
      <c r="W160" s="90">
        <v>0</v>
      </c>
    </row>
    <row r="161" spans="1:23" s="150" customFormat="1" ht="37.5" customHeight="1">
      <c r="A161" s="48" t="s">
        <v>258</v>
      </c>
      <c r="B161" s="55">
        <v>33000000</v>
      </c>
      <c r="C161" s="10">
        <v>296</v>
      </c>
      <c r="D161" s="10">
        <v>296</v>
      </c>
      <c r="E161" s="6">
        <v>614.6</v>
      </c>
      <c r="F161" s="6">
        <v>307.63513513513516</v>
      </c>
      <c r="G161" s="10">
        <v>1087.6</v>
      </c>
      <c r="H161" s="10">
        <v>634.4</v>
      </c>
      <c r="I161" s="209">
        <v>634.4</v>
      </c>
      <c r="J161" s="10">
        <v>0</v>
      </c>
      <c r="K161" s="209">
        <v>0</v>
      </c>
      <c r="L161" s="10">
        <v>910.6</v>
      </c>
      <c r="M161" s="10">
        <v>588.9</v>
      </c>
      <c r="N161" s="62">
        <v>83.72563442442075</v>
      </c>
      <c r="O161" s="6">
        <v>143.53720050441362</v>
      </c>
      <c r="P161" s="112" t="e">
        <v>#DIV/0!</v>
      </c>
      <c r="Q161" s="6">
        <v>276.20000000000005</v>
      </c>
      <c r="R161" s="10">
        <v>910.6</v>
      </c>
      <c r="S161" s="88">
        <v>0</v>
      </c>
      <c r="T161" s="89">
        <v>0</v>
      </c>
      <c r="U161" s="89">
        <v>0</v>
      </c>
      <c r="V161" s="89">
        <v>0</v>
      </c>
      <c r="W161" s="90" t="e">
        <v>#DIV/0!</v>
      </c>
    </row>
    <row r="162" spans="1:23" s="92" customFormat="1" ht="20.25" customHeight="1">
      <c r="A162" s="29" t="s">
        <v>259</v>
      </c>
      <c r="B162" s="27">
        <v>33010000</v>
      </c>
      <c r="C162" s="7">
        <v>296</v>
      </c>
      <c r="D162" s="7">
        <v>296</v>
      </c>
      <c r="E162" s="25">
        <v>614.6</v>
      </c>
      <c r="F162" s="25">
        <v>307.63513513513516</v>
      </c>
      <c r="G162" s="7">
        <v>1087.6</v>
      </c>
      <c r="H162" s="7">
        <v>634.4</v>
      </c>
      <c r="I162" s="219">
        <v>634.4</v>
      </c>
      <c r="J162" s="7">
        <v>0</v>
      </c>
      <c r="K162" s="219">
        <v>0</v>
      </c>
      <c r="L162" s="7">
        <v>910.6</v>
      </c>
      <c r="M162" s="7">
        <v>588.9</v>
      </c>
      <c r="N162" s="63">
        <v>83.72563442442075</v>
      </c>
      <c r="O162" s="25">
        <v>143.53720050441362</v>
      </c>
      <c r="P162" s="113" t="e">
        <v>#DIV/0!</v>
      </c>
      <c r="Q162" s="25">
        <v>276.20000000000005</v>
      </c>
      <c r="R162" s="7">
        <v>910.6</v>
      </c>
      <c r="S162" s="88">
        <v>0</v>
      </c>
      <c r="T162" s="89">
        <v>0</v>
      </c>
      <c r="U162" s="89">
        <v>0</v>
      </c>
      <c r="V162" s="89">
        <v>0</v>
      </c>
      <c r="W162" s="90" t="e">
        <v>#DIV/0!</v>
      </c>
    </row>
    <row r="163" spans="1:23" s="145" customFormat="1" ht="109.5" customHeight="1">
      <c r="A163" s="74" t="s">
        <v>108</v>
      </c>
      <c r="B163" s="33">
        <v>33010100</v>
      </c>
      <c r="C163" s="22">
        <v>296</v>
      </c>
      <c r="D163" s="22">
        <v>296</v>
      </c>
      <c r="E163" s="36">
        <v>614.6</v>
      </c>
      <c r="F163" s="36">
        <v>307.63513513513516</v>
      </c>
      <c r="G163" s="22">
        <v>1087.6</v>
      </c>
      <c r="H163" s="22">
        <v>634.4</v>
      </c>
      <c r="I163" s="219">
        <v>634.4</v>
      </c>
      <c r="J163" s="22">
        <v>0</v>
      </c>
      <c r="K163" s="220">
        <v>0</v>
      </c>
      <c r="L163" s="22">
        <v>910.6</v>
      </c>
      <c r="M163" s="3">
        <v>588.9</v>
      </c>
      <c r="N163" s="65">
        <v>83.72563442442075</v>
      </c>
      <c r="O163" s="36">
        <v>143.53720050441362</v>
      </c>
      <c r="P163" s="113" t="e">
        <v>#DIV/0!</v>
      </c>
      <c r="Q163" s="36">
        <v>276.20000000000005</v>
      </c>
      <c r="R163" s="22">
        <v>910.6</v>
      </c>
      <c r="S163" s="88">
        <v>0</v>
      </c>
      <c r="T163" s="89">
        <v>0</v>
      </c>
      <c r="U163" s="89">
        <v>0</v>
      </c>
      <c r="V163" s="89">
        <v>0</v>
      </c>
      <c r="W163" s="90" t="e">
        <v>#DIV/0!</v>
      </c>
    </row>
    <row r="164" spans="1:23" s="145" customFormat="1" ht="42.75" customHeight="1" hidden="1">
      <c r="A164" s="74" t="s">
        <v>109</v>
      </c>
      <c r="B164" s="33">
        <v>33010200</v>
      </c>
      <c r="C164" s="22"/>
      <c r="D164" s="22"/>
      <c r="E164" s="6">
        <v>0</v>
      </c>
      <c r="F164" s="50" t="e">
        <v>#DIV/0!</v>
      </c>
      <c r="G164" s="22"/>
      <c r="H164" s="22">
        <v>0</v>
      </c>
      <c r="I164" s="220">
        <v>0</v>
      </c>
      <c r="J164" s="22"/>
      <c r="K164" s="219"/>
      <c r="L164" s="22"/>
      <c r="M164" s="3"/>
      <c r="N164" s="60" t="e">
        <v>#DIV/0!</v>
      </c>
      <c r="O164" s="14" t="e">
        <v>#DIV/0!</v>
      </c>
      <c r="P164" s="63" t="e">
        <v>#DIV/0!</v>
      </c>
      <c r="Q164" s="25">
        <v>0</v>
      </c>
      <c r="R164" s="7">
        <v>0</v>
      </c>
      <c r="S164" s="88">
        <v>0</v>
      </c>
      <c r="T164" s="89">
        <v>0</v>
      </c>
      <c r="U164" s="89" t="e">
        <v>#DIV/0!</v>
      </c>
      <c r="V164" s="89" t="e">
        <v>#DIV/0!</v>
      </c>
      <c r="W164" s="90" t="e">
        <v>#DIV/0!</v>
      </c>
    </row>
    <row r="165" spans="1:23" s="150" customFormat="1" ht="19.5" customHeight="1">
      <c r="A165" s="61" t="s">
        <v>98</v>
      </c>
      <c r="B165" s="55">
        <v>40000000</v>
      </c>
      <c r="C165" s="10">
        <v>658.4</v>
      </c>
      <c r="D165" s="10">
        <v>40</v>
      </c>
      <c r="E165" s="6">
        <v>185.2</v>
      </c>
      <c r="F165" s="6">
        <v>563</v>
      </c>
      <c r="G165" s="10">
        <v>25252.600000000002</v>
      </c>
      <c r="H165" s="10">
        <v>14730.699999999999</v>
      </c>
      <c r="I165" s="209">
        <v>14730.699999999999</v>
      </c>
      <c r="J165" s="10">
        <v>25252.6</v>
      </c>
      <c r="K165" s="209">
        <v>25252.6</v>
      </c>
      <c r="L165" s="10">
        <v>225.2</v>
      </c>
      <c r="M165" s="10">
        <v>0</v>
      </c>
      <c r="N165" s="62">
        <v>0.8917893603034934</v>
      </c>
      <c r="O165" s="6">
        <v>1.5287800308199884</v>
      </c>
      <c r="P165" s="62">
        <v>0.8917893603034935</v>
      </c>
      <c r="Q165" s="6">
        <v>-14505.499999999998</v>
      </c>
      <c r="R165" s="10">
        <v>-25027.399999999998</v>
      </c>
      <c r="S165" s="88">
        <v>0</v>
      </c>
      <c r="T165" s="89">
        <v>0</v>
      </c>
      <c r="U165" s="89">
        <v>0</v>
      </c>
      <c r="V165" s="89">
        <v>0</v>
      </c>
      <c r="W165" s="90">
        <v>0</v>
      </c>
    </row>
    <row r="166" spans="1:23" s="150" customFormat="1" ht="25.5" customHeight="1">
      <c r="A166" s="48" t="s">
        <v>99</v>
      </c>
      <c r="B166" s="55">
        <v>41000000</v>
      </c>
      <c r="C166" s="10">
        <v>658.4</v>
      </c>
      <c r="D166" s="10">
        <v>40</v>
      </c>
      <c r="E166" s="6">
        <v>185.2</v>
      </c>
      <c r="F166" s="6">
        <v>563</v>
      </c>
      <c r="G166" s="10">
        <v>25252.600000000002</v>
      </c>
      <c r="H166" s="10">
        <v>14730.699999999999</v>
      </c>
      <c r="I166" s="209">
        <v>14730.699999999999</v>
      </c>
      <c r="J166" s="10">
        <v>25252.6</v>
      </c>
      <c r="K166" s="209">
        <v>25252.6</v>
      </c>
      <c r="L166" s="10">
        <v>225.2</v>
      </c>
      <c r="M166" s="10">
        <v>0</v>
      </c>
      <c r="N166" s="62">
        <v>0.8917893603034934</v>
      </c>
      <c r="O166" s="6">
        <v>1.5287800308199884</v>
      </c>
      <c r="P166" s="62">
        <v>0.8917893603034935</v>
      </c>
      <c r="Q166" s="6">
        <v>-14505.499999999998</v>
      </c>
      <c r="R166" s="10">
        <v>-25027.399999999998</v>
      </c>
      <c r="S166" s="88">
        <v>0</v>
      </c>
      <c r="T166" s="89">
        <v>0</v>
      </c>
      <c r="U166" s="89">
        <v>0</v>
      </c>
      <c r="V166" s="89">
        <v>0</v>
      </c>
      <c r="W166" s="90">
        <v>0</v>
      </c>
    </row>
    <row r="167" spans="1:23" s="150" customFormat="1" ht="19.5" customHeight="1">
      <c r="A167" s="61" t="s">
        <v>226</v>
      </c>
      <c r="B167" s="55">
        <v>41030000</v>
      </c>
      <c r="C167" s="10">
        <v>658.4</v>
      </c>
      <c r="D167" s="10">
        <v>40</v>
      </c>
      <c r="E167" s="6">
        <v>185.2</v>
      </c>
      <c r="F167" s="6">
        <v>563</v>
      </c>
      <c r="G167" s="10">
        <v>25252.600000000002</v>
      </c>
      <c r="H167" s="10">
        <v>14730.699999999999</v>
      </c>
      <c r="I167" s="209">
        <v>14730.699999999999</v>
      </c>
      <c r="J167" s="10">
        <v>25252.6</v>
      </c>
      <c r="K167" s="209">
        <v>25252.6</v>
      </c>
      <c r="L167" s="10">
        <v>225.2</v>
      </c>
      <c r="M167" s="10">
        <v>0</v>
      </c>
      <c r="N167" s="62">
        <v>0.8917893603034934</v>
      </c>
      <c r="O167" s="6">
        <v>1.5287800308199884</v>
      </c>
      <c r="P167" s="62">
        <v>0.8917893603034935</v>
      </c>
      <c r="Q167" s="6">
        <v>-14505.499999999998</v>
      </c>
      <c r="R167" s="10">
        <v>-25027.399999999998</v>
      </c>
      <c r="S167" s="88">
        <v>0</v>
      </c>
      <c r="T167" s="89">
        <v>0</v>
      </c>
      <c r="U167" s="89">
        <v>0</v>
      </c>
      <c r="V167" s="89">
        <v>0</v>
      </c>
      <c r="W167" s="90">
        <v>0</v>
      </c>
    </row>
    <row r="168" spans="1:23" s="92" customFormat="1" ht="26.25" customHeight="1">
      <c r="A168" s="29" t="s">
        <v>121</v>
      </c>
      <c r="B168" s="30">
        <v>41035000</v>
      </c>
      <c r="C168" s="7">
        <v>658.4</v>
      </c>
      <c r="D168" s="7">
        <v>40</v>
      </c>
      <c r="E168" s="25">
        <v>185.2</v>
      </c>
      <c r="F168" s="25">
        <v>563</v>
      </c>
      <c r="G168" s="7">
        <v>225.2</v>
      </c>
      <c r="H168" s="7">
        <v>131.4</v>
      </c>
      <c r="I168" s="219">
        <v>131.4</v>
      </c>
      <c r="J168" s="7">
        <v>225.2</v>
      </c>
      <c r="K168" s="219">
        <v>225.2</v>
      </c>
      <c r="L168" s="7">
        <v>225.2</v>
      </c>
      <c r="M168" s="7">
        <v>0</v>
      </c>
      <c r="N168" s="63">
        <v>100</v>
      </c>
      <c r="O168" s="25">
        <v>171.3850837138508</v>
      </c>
      <c r="P168" s="63">
        <v>100</v>
      </c>
      <c r="Q168" s="25">
        <v>93.79999999999998</v>
      </c>
      <c r="R168" s="7">
        <v>0</v>
      </c>
      <c r="S168" s="88">
        <v>0</v>
      </c>
      <c r="T168" s="89">
        <v>0</v>
      </c>
      <c r="U168" s="89">
        <v>0</v>
      </c>
      <c r="V168" s="89">
        <v>0</v>
      </c>
      <c r="W168" s="90">
        <v>0</v>
      </c>
    </row>
    <row r="169" spans="1:23" s="92" customFormat="1" ht="33" customHeight="1">
      <c r="A169" s="75" t="s">
        <v>302</v>
      </c>
      <c r="B169" s="30"/>
      <c r="C169" s="22">
        <v>500</v>
      </c>
      <c r="D169" s="22"/>
      <c r="E169" s="25">
        <v>0</v>
      </c>
      <c r="F169" s="241" t="e">
        <v>#DIV/0!</v>
      </c>
      <c r="G169" s="22"/>
      <c r="H169" s="7">
        <v>0</v>
      </c>
      <c r="I169" s="219">
        <v>0</v>
      </c>
      <c r="J169" s="22"/>
      <c r="K169" s="220"/>
      <c r="L169" s="22"/>
      <c r="M169" s="3">
        <v>0</v>
      </c>
      <c r="N169" s="226" t="e">
        <v>#DIV/0!</v>
      </c>
      <c r="O169" s="122" t="e">
        <v>#DIV/0!</v>
      </c>
      <c r="P169" s="226" t="e">
        <v>#DIV/0!</v>
      </c>
      <c r="Q169" s="122">
        <v>0</v>
      </c>
      <c r="R169" s="227">
        <v>0</v>
      </c>
      <c r="S169" s="88">
        <v>0</v>
      </c>
      <c r="T169" s="89">
        <v>0</v>
      </c>
      <c r="U169" s="89" t="e">
        <v>#DIV/0!</v>
      </c>
      <c r="V169" s="89" t="e">
        <v>#DIV/0!</v>
      </c>
      <c r="W169" s="90" t="e">
        <v>#DIV/0!</v>
      </c>
    </row>
    <row r="170" spans="1:23" s="92" customFormat="1" ht="36" customHeight="1">
      <c r="A170" s="78" t="s">
        <v>155</v>
      </c>
      <c r="B170" s="77"/>
      <c r="C170" s="22">
        <v>158.4</v>
      </c>
      <c r="D170" s="7">
        <v>40</v>
      </c>
      <c r="E170" s="36">
        <v>185.2</v>
      </c>
      <c r="F170" s="36">
        <v>563</v>
      </c>
      <c r="G170" s="22">
        <v>225.2</v>
      </c>
      <c r="H170" s="22">
        <v>131.4</v>
      </c>
      <c r="I170" s="220">
        <v>131.4</v>
      </c>
      <c r="J170" s="22">
        <v>225.2</v>
      </c>
      <c r="K170" s="220">
        <v>225.2</v>
      </c>
      <c r="L170" s="22">
        <v>225.2</v>
      </c>
      <c r="M170" s="3">
        <v>0</v>
      </c>
      <c r="N170" s="65">
        <v>100</v>
      </c>
      <c r="O170" s="36">
        <v>171.3850837138508</v>
      </c>
      <c r="P170" s="65">
        <v>100</v>
      </c>
      <c r="Q170" s="36">
        <v>93.79999999999998</v>
      </c>
      <c r="R170" s="22">
        <v>0</v>
      </c>
      <c r="S170" s="88">
        <v>0</v>
      </c>
      <c r="T170" s="89">
        <v>0</v>
      </c>
      <c r="U170" s="89">
        <v>0</v>
      </c>
      <c r="V170" s="89">
        <v>0</v>
      </c>
      <c r="W170" s="90">
        <v>0</v>
      </c>
    </row>
    <row r="171" spans="1:23" s="92" customFormat="1" ht="32.25" customHeight="1" hidden="1">
      <c r="A171" s="76" t="s">
        <v>113</v>
      </c>
      <c r="B171" s="77"/>
      <c r="C171" s="22"/>
      <c r="D171" s="7"/>
      <c r="E171" s="25">
        <v>0</v>
      </c>
      <c r="F171" s="14" t="e">
        <v>#DIV/0!</v>
      </c>
      <c r="G171" s="22"/>
      <c r="H171" s="22">
        <v>0</v>
      </c>
      <c r="I171" s="220">
        <v>0</v>
      </c>
      <c r="J171" s="22"/>
      <c r="K171" s="220"/>
      <c r="L171" s="22"/>
      <c r="M171" s="3"/>
      <c r="N171" s="52" t="e">
        <v>#DIV/0!</v>
      </c>
      <c r="O171" s="14" t="e">
        <v>#DIV/0!</v>
      </c>
      <c r="P171" s="52" t="e">
        <v>#DIV/0!</v>
      </c>
      <c r="Q171" s="14">
        <v>0</v>
      </c>
      <c r="R171" s="57">
        <v>0</v>
      </c>
      <c r="S171" s="88">
        <v>0</v>
      </c>
      <c r="T171" s="89">
        <v>0</v>
      </c>
      <c r="U171" s="89" t="e">
        <v>#DIV/0!</v>
      </c>
      <c r="V171" s="89" t="e">
        <v>#DIV/0!</v>
      </c>
      <c r="W171" s="90" t="e">
        <v>#DIV/0!</v>
      </c>
    </row>
    <row r="172" spans="1:23" s="92" customFormat="1" ht="321.75" customHeight="1">
      <c r="A172" s="39" t="s">
        <v>162</v>
      </c>
      <c r="B172" s="42">
        <v>41036600</v>
      </c>
      <c r="C172" s="7"/>
      <c r="D172" s="7"/>
      <c r="E172" s="25">
        <v>0</v>
      </c>
      <c r="F172" s="14" t="e">
        <v>#DIV/0!</v>
      </c>
      <c r="G172" s="7">
        <v>25027.4</v>
      </c>
      <c r="H172" s="7">
        <v>14599.3</v>
      </c>
      <c r="I172" s="219">
        <v>14599.3</v>
      </c>
      <c r="J172" s="7">
        <v>25027.399999999998</v>
      </c>
      <c r="K172" s="219">
        <v>25027.399999999998</v>
      </c>
      <c r="L172" s="7"/>
      <c r="M172" s="3">
        <v>0</v>
      </c>
      <c r="N172" s="52">
        <v>0</v>
      </c>
      <c r="O172" s="14">
        <v>0</v>
      </c>
      <c r="P172" s="52">
        <v>0</v>
      </c>
      <c r="Q172" s="25">
        <v>-14599.3</v>
      </c>
      <c r="R172" s="7">
        <v>-25027.399999999998</v>
      </c>
      <c r="S172" s="88">
        <v>0</v>
      </c>
      <c r="T172" s="89">
        <v>0</v>
      </c>
      <c r="U172" s="89">
        <v>0</v>
      </c>
      <c r="V172" s="89">
        <v>0</v>
      </c>
      <c r="W172" s="90">
        <v>0</v>
      </c>
    </row>
    <row r="173" spans="1:23" s="150" customFormat="1" ht="22.5" customHeight="1">
      <c r="A173" s="61" t="s">
        <v>260</v>
      </c>
      <c r="B173" s="55">
        <v>50000000</v>
      </c>
      <c r="C173" s="10">
        <v>786</v>
      </c>
      <c r="D173" s="10">
        <v>455.6</v>
      </c>
      <c r="E173" s="6">
        <v>116.39999999999998</v>
      </c>
      <c r="F173" s="6">
        <v>125.54872695346795</v>
      </c>
      <c r="G173" s="10">
        <v>5361.4</v>
      </c>
      <c r="H173" s="10">
        <v>3127.5</v>
      </c>
      <c r="I173" s="209">
        <v>3127.5</v>
      </c>
      <c r="J173" s="10">
        <v>2922.2</v>
      </c>
      <c r="K173" s="209">
        <v>2922.2</v>
      </c>
      <c r="L173" s="10">
        <v>572</v>
      </c>
      <c r="M173" s="10">
        <v>73.80000000000001</v>
      </c>
      <c r="N173" s="10">
        <v>10.668855149774313</v>
      </c>
      <c r="O173" s="6">
        <v>18.289368505195842</v>
      </c>
      <c r="P173" s="10">
        <v>19.57429334063377</v>
      </c>
      <c r="Q173" s="6">
        <v>-2555.5</v>
      </c>
      <c r="R173" s="10">
        <v>-2350.2</v>
      </c>
      <c r="S173" s="88">
        <v>0</v>
      </c>
      <c r="T173" s="89">
        <v>0</v>
      </c>
      <c r="U173" s="89">
        <v>0</v>
      </c>
      <c r="V173" s="89">
        <v>0</v>
      </c>
      <c r="W173" s="90">
        <v>0</v>
      </c>
    </row>
    <row r="174" spans="1:23" s="91" customFormat="1" ht="63.75" customHeight="1">
      <c r="A174" s="26" t="s">
        <v>308</v>
      </c>
      <c r="B174" s="27">
        <v>50110000</v>
      </c>
      <c r="C174" s="7">
        <v>786</v>
      </c>
      <c r="D174" s="7">
        <v>455.6</v>
      </c>
      <c r="E174" s="25">
        <v>116.39999999999998</v>
      </c>
      <c r="F174" s="25">
        <v>125.54872695346795</v>
      </c>
      <c r="G174" s="7">
        <v>5361.4</v>
      </c>
      <c r="H174" s="7">
        <v>3127.5</v>
      </c>
      <c r="I174" s="219">
        <v>3127.5</v>
      </c>
      <c r="J174" s="7">
        <v>2922.2</v>
      </c>
      <c r="K174" s="219">
        <v>2922.2</v>
      </c>
      <c r="L174" s="7">
        <v>572</v>
      </c>
      <c r="M174" s="3">
        <v>73.80000000000001</v>
      </c>
      <c r="N174" s="63">
        <v>10.668855149774313</v>
      </c>
      <c r="O174" s="25">
        <v>18.289368505195842</v>
      </c>
      <c r="P174" s="63">
        <v>19.57429334063377</v>
      </c>
      <c r="Q174" s="25">
        <v>-2555.5</v>
      </c>
      <c r="R174" s="7">
        <v>-2350.2</v>
      </c>
      <c r="S174" s="88">
        <v>0</v>
      </c>
      <c r="T174" s="89">
        <v>0</v>
      </c>
      <c r="U174" s="89">
        <v>0</v>
      </c>
      <c r="V174" s="89">
        <v>0</v>
      </c>
      <c r="W174" s="90">
        <v>0</v>
      </c>
    </row>
    <row r="175" spans="1:23" s="119" customFormat="1" ht="18.75" customHeight="1">
      <c r="A175" s="207" t="s">
        <v>283</v>
      </c>
      <c r="B175" s="211"/>
      <c r="C175" s="203">
        <v>71867.99999999999</v>
      </c>
      <c r="D175" s="209">
        <v>36952.826669999995</v>
      </c>
      <c r="E175" s="209">
        <v>6901.973330000001</v>
      </c>
      <c r="F175" s="209">
        <v>118.67779531897986</v>
      </c>
      <c r="G175" s="209">
        <v>97244.8</v>
      </c>
      <c r="H175" s="209">
        <v>56726.09999999999</v>
      </c>
      <c r="I175" s="209">
        <v>56726.09999999999</v>
      </c>
      <c r="J175" s="209">
        <v>66619.59999999999</v>
      </c>
      <c r="K175" s="209">
        <v>66619.59999999999</v>
      </c>
      <c r="L175" s="205">
        <v>43854.799999999996</v>
      </c>
      <c r="M175" s="203">
        <v>7000.699999999996</v>
      </c>
      <c r="N175" s="209">
        <v>45.09732139919049</v>
      </c>
      <c r="O175" s="203">
        <v>77.30973925582757</v>
      </c>
      <c r="P175" s="209">
        <v>65.82867504458147</v>
      </c>
      <c r="Q175" s="203">
        <v>-12871.299999999996</v>
      </c>
      <c r="R175" s="209">
        <v>-22764.799999999996</v>
      </c>
      <c r="S175" s="116"/>
      <c r="T175" s="117"/>
      <c r="U175" s="117"/>
      <c r="V175" s="117"/>
      <c r="W175" s="118"/>
    </row>
    <row r="176" spans="1:23" s="224" customFormat="1" ht="42.75" customHeight="1">
      <c r="A176" s="212" t="s">
        <v>285</v>
      </c>
      <c r="B176" s="204"/>
      <c r="C176" s="203">
        <v>71209.59999999999</v>
      </c>
      <c r="D176" s="209">
        <v>36912.826669999995</v>
      </c>
      <c r="E176" s="209">
        <v>6716.773330000004</v>
      </c>
      <c r="F176" s="209">
        <v>118.19631259899937</v>
      </c>
      <c r="G176" s="209">
        <v>71992.2</v>
      </c>
      <c r="H176" s="209">
        <v>41995.399999999994</v>
      </c>
      <c r="I176" s="209">
        <v>41995.399999999994</v>
      </c>
      <c r="J176" s="209">
        <v>41366.99999999999</v>
      </c>
      <c r="K176" s="209">
        <v>41366.99999999999</v>
      </c>
      <c r="L176" s="205">
        <v>43629.6</v>
      </c>
      <c r="M176" s="203">
        <v>7000.699999999996</v>
      </c>
      <c r="N176" s="210">
        <v>60.603232016801826</v>
      </c>
      <c r="O176" s="203">
        <v>103.89137857955872</v>
      </c>
      <c r="P176" s="210">
        <v>105.46957719921679</v>
      </c>
      <c r="Q176" s="203">
        <v>1634.2000000000044</v>
      </c>
      <c r="R176" s="209">
        <v>2262.600000000006</v>
      </c>
      <c r="S176" s="116">
        <v>0</v>
      </c>
      <c r="T176" s="117">
        <v>0</v>
      </c>
      <c r="U176" s="117">
        <v>0</v>
      </c>
      <c r="V176" s="117">
        <v>0</v>
      </c>
      <c r="W176" s="118">
        <v>0</v>
      </c>
    </row>
    <row r="177" spans="1:23" s="224" customFormat="1" ht="24" customHeight="1">
      <c r="A177" s="213" t="s">
        <v>286</v>
      </c>
      <c r="B177" s="204"/>
      <c r="C177" s="203">
        <v>6989.799999999999</v>
      </c>
      <c r="D177" s="203">
        <v>2116.8</v>
      </c>
      <c r="E177" s="203">
        <v>5265.499999999999</v>
      </c>
      <c r="F177" s="203">
        <v>348.7481103552531</v>
      </c>
      <c r="G177" s="203">
        <v>4797.2</v>
      </c>
      <c r="H177" s="209">
        <v>2798.2999999999997</v>
      </c>
      <c r="I177" s="209">
        <v>2798.2999999999997</v>
      </c>
      <c r="J177" s="209">
        <v>2480.8</v>
      </c>
      <c r="K177" s="209">
        <v>2480.8</v>
      </c>
      <c r="L177" s="205">
        <v>7382.299999999999</v>
      </c>
      <c r="M177" s="203">
        <v>3068.6</v>
      </c>
      <c r="N177" s="203">
        <v>153.88768448261484</v>
      </c>
      <c r="O177" s="203">
        <v>263.8137440588929</v>
      </c>
      <c r="P177" s="203">
        <v>297.5773943889068</v>
      </c>
      <c r="Q177" s="203">
        <v>4584</v>
      </c>
      <c r="R177" s="203">
        <v>4901.499999999999</v>
      </c>
      <c r="S177" s="116"/>
      <c r="T177" s="117"/>
      <c r="U177" s="117"/>
      <c r="V177" s="117"/>
      <c r="W177" s="118"/>
    </row>
    <row r="178" spans="1:23" s="225" customFormat="1" ht="36.75" customHeight="1">
      <c r="A178" s="214" t="s">
        <v>261</v>
      </c>
      <c r="B178" s="211"/>
      <c r="C178" s="203">
        <v>2355111.4</v>
      </c>
      <c r="D178" s="209">
        <v>1242485.0173600002</v>
      </c>
      <c r="E178" s="209">
        <v>451815.4826399998</v>
      </c>
      <c r="F178" s="209">
        <v>136.36385761817922</v>
      </c>
      <c r="G178" s="209">
        <v>2753184.6999999997</v>
      </c>
      <c r="H178" s="209">
        <v>1606024.4</v>
      </c>
      <c r="I178" s="209">
        <v>1606024.4</v>
      </c>
      <c r="J178" s="209">
        <v>1769072.8000000003</v>
      </c>
      <c r="K178" s="209">
        <v>1769072.8000000003</v>
      </c>
      <c r="L178" s="205">
        <v>1694300.5</v>
      </c>
      <c r="M178" s="203">
        <v>232783.49999999997</v>
      </c>
      <c r="N178" s="209">
        <v>61.539659870985055</v>
      </c>
      <c r="O178" s="203">
        <v>105.49656032623167</v>
      </c>
      <c r="P178" s="209">
        <v>95.77336218159024</v>
      </c>
      <c r="Q178" s="203">
        <v>88276.1000000001</v>
      </c>
      <c r="R178" s="209">
        <v>-74772.30000000028</v>
      </c>
      <c r="S178" s="116">
        <v>0</v>
      </c>
      <c r="T178" s="117">
        <v>0</v>
      </c>
      <c r="U178" s="117">
        <v>0</v>
      </c>
      <c r="V178" s="117">
        <v>0</v>
      </c>
      <c r="W178" s="118">
        <v>0</v>
      </c>
    </row>
    <row r="179" spans="1:23" s="150" customFormat="1" ht="19.5" customHeight="1">
      <c r="A179" s="179"/>
      <c r="B179" s="180"/>
      <c r="C179" s="11"/>
      <c r="D179" s="11"/>
      <c r="E179" s="11"/>
      <c r="F179" s="101"/>
      <c r="G179" s="11"/>
      <c r="H179" s="11"/>
      <c r="I179" s="221"/>
      <c r="J179" s="102"/>
      <c r="K179" s="221"/>
      <c r="L179" s="11"/>
      <c r="M179" s="11"/>
      <c r="N179" s="11"/>
      <c r="O179" s="11"/>
      <c r="P179" s="11"/>
      <c r="Q179" s="11"/>
      <c r="R179" s="11"/>
      <c r="S179" s="88">
        <v>0</v>
      </c>
      <c r="T179" s="89">
        <v>0</v>
      </c>
      <c r="U179" s="89" t="e">
        <v>#DIV/0!</v>
      </c>
      <c r="V179" s="89" t="e">
        <v>#DIV/0!</v>
      </c>
      <c r="W179" s="90" t="e">
        <v>#DIV/0!</v>
      </c>
    </row>
    <row r="180" spans="1:23" s="150" customFormat="1" ht="19.5" customHeight="1">
      <c r="A180" s="181"/>
      <c r="B180" s="180"/>
      <c r="C180" s="11"/>
      <c r="D180" s="11"/>
      <c r="E180" s="101"/>
      <c r="F180" s="101"/>
      <c r="G180" s="11"/>
      <c r="H180" s="11"/>
      <c r="I180" s="231"/>
      <c r="J180" s="11"/>
      <c r="K180" s="221"/>
      <c r="L180" s="11"/>
      <c r="M180" s="11"/>
      <c r="N180" s="11"/>
      <c r="O180" s="11"/>
      <c r="P180" s="11"/>
      <c r="Q180" s="11"/>
      <c r="S180" s="88">
        <v>0</v>
      </c>
      <c r="T180" s="89">
        <v>0</v>
      </c>
      <c r="U180" s="89" t="e">
        <v>#DIV/0!</v>
      </c>
      <c r="V180" s="89" t="e">
        <v>#DIV/0!</v>
      </c>
      <c r="W180" s="90" t="e">
        <v>#DIV/0!</v>
      </c>
    </row>
    <row r="181" spans="1:23" s="150" customFormat="1" ht="19.5" customHeight="1">
      <c r="A181" s="812"/>
      <c r="B181" s="812"/>
      <c r="C181" s="812"/>
      <c r="D181" s="812"/>
      <c r="E181" s="812"/>
      <c r="F181" s="82"/>
      <c r="G181" s="11"/>
      <c r="H181" s="11"/>
      <c r="I181" s="231"/>
      <c r="J181" s="11"/>
      <c r="K181" s="221"/>
      <c r="L181" s="11"/>
      <c r="M181" s="11"/>
      <c r="N181" s="11"/>
      <c r="O181" s="11"/>
      <c r="P181" s="11"/>
      <c r="Q181" s="11"/>
      <c r="W181" s="182"/>
    </row>
    <row r="182" spans="1:23" s="150" customFormat="1" ht="19.5" customHeight="1">
      <c r="A182" s="103"/>
      <c r="B182" s="103"/>
      <c r="C182" s="103"/>
      <c r="D182" s="103"/>
      <c r="E182" s="103"/>
      <c r="F182" s="82"/>
      <c r="G182" s="11"/>
      <c r="H182" s="11"/>
      <c r="I182" s="231"/>
      <c r="J182" s="11"/>
      <c r="K182" s="221"/>
      <c r="L182" s="11"/>
      <c r="M182" s="11"/>
      <c r="N182" s="11"/>
      <c r="O182" s="11"/>
      <c r="P182" s="11"/>
      <c r="Q182" s="11"/>
      <c r="W182" s="182"/>
    </row>
    <row r="183" spans="1:23" s="92" customFormat="1" ht="24" customHeight="1">
      <c r="A183" s="792" t="s">
        <v>116</v>
      </c>
      <c r="B183" s="792"/>
      <c r="C183" s="792"/>
      <c r="D183" s="11"/>
      <c r="E183" s="104"/>
      <c r="F183" s="104"/>
      <c r="G183" s="82"/>
      <c r="H183" s="82"/>
      <c r="I183" s="232"/>
      <c r="J183" s="105"/>
      <c r="K183" s="792" t="s">
        <v>117</v>
      </c>
      <c r="L183" s="792"/>
      <c r="M183" s="792"/>
      <c r="N183" s="792"/>
      <c r="O183" s="183"/>
      <c r="P183" s="184"/>
      <c r="Q183" s="183"/>
      <c r="W183" s="185"/>
    </row>
    <row r="184" spans="1:23" s="13" customFormat="1" ht="42.75" customHeight="1" hidden="1">
      <c r="A184" s="186" t="s">
        <v>262</v>
      </c>
      <c r="B184" s="104"/>
      <c r="D184" s="104"/>
      <c r="E184" s="104"/>
      <c r="F184" s="104"/>
      <c r="G184" s="82"/>
      <c r="H184" s="83"/>
      <c r="I184" s="232"/>
      <c r="J184" s="106"/>
      <c r="K184" s="222"/>
      <c r="M184" s="106"/>
      <c r="N184" s="106"/>
      <c r="Q184" s="183"/>
      <c r="R184" s="184"/>
      <c r="W184" s="187"/>
    </row>
    <row r="185" spans="1:23" s="92" customFormat="1" ht="25.5">
      <c r="A185" s="186"/>
      <c r="B185" s="183"/>
      <c r="C185" s="183"/>
      <c r="D185" s="104"/>
      <c r="E185" s="79"/>
      <c r="F185" s="79"/>
      <c r="G185" s="82"/>
      <c r="H185" s="82"/>
      <c r="I185" s="232"/>
      <c r="J185" s="105"/>
      <c r="K185" s="239"/>
      <c r="L185" s="808" t="e">
        <v>#REF!</v>
      </c>
      <c r="M185" s="808"/>
      <c r="O185" s="183"/>
      <c r="P185" s="184"/>
      <c r="Q185" s="183"/>
      <c r="R185" s="184"/>
      <c r="W185" s="185"/>
    </row>
    <row r="186" spans="1:23" s="92" customFormat="1" ht="25.5">
      <c r="A186" s="186"/>
      <c r="B186" s="184"/>
      <c r="C186" s="184"/>
      <c r="E186" s="79"/>
      <c r="F186" s="79"/>
      <c r="G186" s="79"/>
      <c r="H186" s="82" t="s">
        <v>297</v>
      </c>
      <c r="I186" s="233">
        <v>2798.2999999999997</v>
      </c>
      <c r="J186" s="105"/>
      <c r="K186" s="239"/>
      <c r="L186" s="16">
        <v>7382.3</v>
      </c>
      <c r="M186" s="183"/>
      <c r="O186" s="188"/>
      <c r="P186" s="184"/>
      <c r="Q186" s="183"/>
      <c r="R186" s="184"/>
      <c r="W186" s="185"/>
    </row>
    <row r="187" spans="1:23" s="92" customFormat="1" ht="25.5">
      <c r="A187" s="186"/>
      <c r="B187" s="184"/>
      <c r="C187" s="184"/>
      <c r="D187" s="189"/>
      <c r="E187" s="79"/>
      <c r="F187" s="79"/>
      <c r="G187" s="79"/>
      <c r="H187" s="79"/>
      <c r="I187" s="234"/>
      <c r="J187" s="79"/>
      <c r="K187" s="234"/>
      <c r="L187" s="17">
        <v>263.81374405889295</v>
      </c>
      <c r="M187" s="184"/>
      <c r="N187" s="164"/>
      <c r="O187" s="190"/>
      <c r="P187" s="190"/>
      <c r="Q187" s="184"/>
      <c r="R187" s="184"/>
      <c r="W187" s="185"/>
    </row>
    <row r="188" spans="2:18" ht="18.75">
      <c r="B188" s="191"/>
      <c r="C188" s="125"/>
      <c r="D188" s="189"/>
      <c r="I188" s="223"/>
      <c r="M188" s="125"/>
      <c r="N188" s="125"/>
      <c r="O188" s="125"/>
      <c r="P188" s="125"/>
      <c r="Q188" s="125"/>
      <c r="R188" s="125"/>
    </row>
    <row r="189" spans="2:18" ht="18.75">
      <c r="B189" s="191"/>
      <c r="C189" s="125"/>
      <c r="I189" s="223"/>
      <c r="M189" s="125"/>
      <c r="N189" s="125"/>
      <c r="O189" s="125"/>
      <c r="P189" s="125"/>
      <c r="Q189" s="192"/>
      <c r="R189" s="192"/>
    </row>
    <row r="190" spans="1:18" ht="42.75" customHeight="1" hidden="1">
      <c r="A190" s="123" t="s">
        <v>263</v>
      </c>
      <c r="B190" s="191"/>
      <c r="C190" s="193"/>
      <c r="E190" s="17">
        <v>0</v>
      </c>
      <c r="F190" s="17"/>
      <c r="G190" s="108"/>
      <c r="H190" s="12"/>
      <c r="I190" s="223"/>
      <c r="J190" s="12"/>
      <c r="K190" s="223"/>
      <c r="L190" s="12"/>
      <c r="M190" s="12"/>
      <c r="N190" s="194"/>
      <c r="O190" s="12"/>
      <c r="P190" s="12"/>
      <c r="Q190" s="12"/>
      <c r="R190" s="12"/>
    </row>
    <row r="191" spans="1:18" ht="42.75" customHeight="1" hidden="1">
      <c r="A191" s="123" t="s">
        <v>264</v>
      </c>
      <c r="B191" s="191"/>
      <c r="C191" s="193"/>
      <c r="D191" s="108">
        <v>342522.2</v>
      </c>
      <c r="G191" s="108"/>
      <c r="H191" s="12"/>
      <c r="I191" s="223"/>
      <c r="J191" s="12"/>
      <c r="K191" s="223"/>
      <c r="L191" s="12"/>
      <c r="M191" s="12"/>
      <c r="N191" s="194"/>
      <c r="O191" s="12"/>
      <c r="P191" s="12"/>
      <c r="Q191" s="12"/>
      <c r="R191" s="12"/>
    </row>
    <row r="192" spans="1:23" s="197" customFormat="1" ht="42.75" customHeight="1" hidden="1">
      <c r="A192" s="195"/>
      <c r="B192" s="196"/>
      <c r="C192" s="193"/>
      <c r="D192" s="108">
        <v>237341.59069000016</v>
      </c>
      <c r="E192" s="84"/>
      <c r="F192" s="84"/>
      <c r="G192" s="84"/>
      <c r="H192" s="84"/>
      <c r="I192" s="235"/>
      <c r="J192" s="12"/>
      <c r="K192" s="223"/>
      <c r="L192" s="12"/>
      <c r="M192" s="12"/>
      <c r="N192" s="194"/>
      <c r="O192" s="12"/>
      <c r="P192" s="12"/>
      <c r="Q192" s="12"/>
      <c r="R192" s="12"/>
      <c r="W192" s="198"/>
    </row>
    <row r="193" spans="2:18" ht="42.75" customHeight="1" hidden="1">
      <c r="B193" s="191"/>
      <c r="C193" s="193"/>
      <c r="D193" s="199">
        <v>579863.7906900002</v>
      </c>
      <c r="L193" s="18"/>
      <c r="M193" s="125"/>
      <c r="N193" s="125"/>
      <c r="O193" s="125"/>
      <c r="P193" s="125"/>
      <c r="Q193" s="12"/>
      <c r="R193" s="125"/>
    </row>
    <row r="194" spans="2:18" ht="42.75" customHeight="1" hidden="1">
      <c r="B194" s="191"/>
      <c r="C194" s="125"/>
      <c r="K194" s="233"/>
      <c r="M194" s="125"/>
      <c r="N194" s="125"/>
      <c r="O194" s="125"/>
      <c r="P194" s="125"/>
      <c r="Q194" s="125"/>
      <c r="R194" s="125"/>
    </row>
    <row r="195" spans="2:18" ht="42.75" customHeight="1" hidden="1">
      <c r="B195" s="191"/>
      <c r="C195" s="192"/>
      <c r="D195" s="107"/>
      <c r="L195" s="18"/>
      <c r="M195" s="125"/>
      <c r="N195" s="125"/>
      <c r="O195" s="125"/>
      <c r="P195" s="125"/>
      <c r="Q195" s="125"/>
      <c r="R195" s="125"/>
    </row>
    <row r="196" spans="2:18" ht="18.75">
      <c r="B196" s="191"/>
      <c r="C196" s="125"/>
      <c r="D196" s="200"/>
      <c r="M196" s="125"/>
      <c r="N196" s="125"/>
      <c r="O196" s="125"/>
      <c r="P196" s="125"/>
      <c r="Q196" s="125"/>
      <c r="R196" s="125"/>
    </row>
    <row r="197" spans="1:18" ht="43.5" customHeight="1">
      <c r="A197" s="796" t="s">
        <v>275</v>
      </c>
      <c r="B197" s="797"/>
      <c r="C197" s="797"/>
      <c r="D197" s="797"/>
      <c r="E197" s="797"/>
      <c r="F197" s="797"/>
      <c r="G197" s="797"/>
      <c r="H197" s="798"/>
      <c r="I197" s="236"/>
      <c r="J197" s="87"/>
      <c r="K197" s="236"/>
      <c r="L197" s="120"/>
      <c r="M197" s="87"/>
      <c r="N197" s="87"/>
      <c r="O197" s="87"/>
      <c r="P197" s="87"/>
      <c r="Q197" s="87"/>
      <c r="R197" s="87"/>
    </row>
    <row r="198" spans="1:18" ht="42" customHeight="1">
      <c r="A198" s="801" t="s">
        <v>276</v>
      </c>
      <c r="B198" s="801"/>
      <c r="C198" s="801"/>
      <c r="D198" s="801"/>
      <c r="E198" s="801"/>
      <c r="F198" s="801"/>
      <c r="G198" s="801"/>
      <c r="H198" s="801"/>
      <c r="I198" s="236"/>
      <c r="J198" s="87"/>
      <c r="K198" s="236"/>
      <c r="L198" s="120"/>
      <c r="M198" s="87"/>
      <c r="N198" s="87"/>
      <c r="O198" s="87"/>
      <c r="P198" s="87"/>
      <c r="Q198" s="87"/>
      <c r="R198" s="87"/>
    </row>
    <row r="199" spans="1:23" s="132" customFormat="1" ht="28.5" customHeight="1">
      <c r="A199" s="802" t="s">
        <v>277</v>
      </c>
      <c r="B199" s="803"/>
      <c r="C199" s="803"/>
      <c r="D199" s="803"/>
      <c r="E199" s="803"/>
      <c r="F199" s="803"/>
      <c r="G199" s="803"/>
      <c r="H199" s="804"/>
      <c r="I199" s="236"/>
      <c r="J199" s="87"/>
      <c r="K199" s="236"/>
      <c r="L199" s="120"/>
      <c r="M199" s="87"/>
      <c r="N199" s="87"/>
      <c r="O199" s="87"/>
      <c r="P199" s="87"/>
      <c r="Q199" s="87"/>
      <c r="R199" s="87"/>
      <c r="W199" s="133"/>
    </row>
    <row r="200" spans="1:18" ht="20.25">
      <c r="A200" s="86" t="s">
        <v>278</v>
      </c>
      <c r="B200" s="86"/>
      <c r="C200" s="86"/>
      <c r="D200" s="201"/>
      <c r="E200" s="109"/>
      <c r="F200" s="109"/>
      <c r="G200" s="109"/>
      <c r="H200" s="85"/>
      <c r="I200" s="236"/>
      <c r="J200" s="87"/>
      <c r="K200" s="236"/>
      <c r="L200" s="120"/>
      <c r="M200" s="87"/>
      <c r="N200" s="87"/>
      <c r="O200" s="87"/>
      <c r="P200" s="87"/>
      <c r="Q200" s="87"/>
      <c r="R200" s="87"/>
    </row>
    <row r="201" spans="1:18" ht="20.25">
      <c r="A201" s="201" t="s">
        <v>268</v>
      </c>
      <c r="B201" s="109"/>
      <c r="C201" s="109"/>
      <c r="D201" s="109"/>
      <c r="E201" s="109"/>
      <c r="F201" s="109"/>
      <c r="G201" s="109"/>
      <c r="H201" s="85"/>
      <c r="I201" s="236"/>
      <c r="J201" s="87"/>
      <c r="K201" s="236"/>
      <c r="L201" s="120"/>
      <c r="M201" s="87"/>
      <c r="N201" s="87"/>
      <c r="O201" s="87"/>
      <c r="P201" s="87"/>
      <c r="Q201" s="87"/>
      <c r="R201" s="87"/>
    </row>
    <row r="202" spans="1:18" ht="20.25">
      <c r="A202" s="86" t="s">
        <v>279</v>
      </c>
      <c r="B202" s="86"/>
      <c r="C202" s="201"/>
      <c r="D202" s="109"/>
      <c r="E202" s="109"/>
      <c r="F202" s="109"/>
      <c r="G202" s="109"/>
      <c r="H202" s="85"/>
      <c r="I202" s="236"/>
      <c r="J202" s="87"/>
      <c r="K202" s="236"/>
      <c r="L202" s="120"/>
      <c r="M202" s="87"/>
      <c r="N202" s="87"/>
      <c r="O202" s="87"/>
      <c r="P202" s="87"/>
      <c r="Q202" s="87"/>
      <c r="R202" s="87"/>
    </row>
    <row r="203" spans="1:18" ht="40.5" customHeight="1">
      <c r="A203" s="805" t="s">
        <v>280</v>
      </c>
      <c r="B203" s="806"/>
      <c r="C203" s="806"/>
      <c r="D203" s="806"/>
      <c r="E203" s="806"/>
      <c r="F203" s="806"/>
      <c r="G203" s="806"/>
      <c r="H203" s="807"/>
      <c r="I203" s="236"/>
      <c r="J203" s="87"/>
      <c r="K203" s="236"/>
      <c r="L203" s="120"/>
      <c r="M203" s="87"/>
      <c r="N203" s="87"/>
      <c r="O203" s="87"/>
      <c r="P203" s="87"/>
      <c r="Q203" s="87"/>
      <c r="R203" s="87"/>
    </row>
    <row r="204" spans="1:18" ht="17.25" customHeight="1">
      <c r="A204" s="201" t="s">
        <v>269</v>
      </c>
      <c r="B204" s="109"/>
      <c r="C204" s="109"/>
      <c r="D204" s="109"/>
      <c r="E204" s="109"/>
      <c r="F204" s="109"/>
      <c r="G204" s="109"/>
      <c r="H204" s="85"/>
      <c r="I204" s="236"/>
      <c r="J204" s="87"/>
      <c r="K204" s="236"/>
      <c r="L204" s="120"/>
      <c r="M204" s="87"/>
      <c r="N204" s="87"/>
      <c r="O204" s="87"/>
      <c r="P204" s="87"/>
      <c r="Q204" s="87"/>
      <c r="R204" s="87"/>
    </row>
    <row r="205" spans="1:18" ht="23.25" customHeight="1">
      <c r="A205" s="86" t="s">
        <v>270</v>
      </c>
      <c r="B205" s="86"/>
      <c r="C205" s="86"/>
      <c r="D205" s="86"/>
      <c r="E205" s="86"/>
      <c r="F205" s="86"/>
      <c r="G205" s="86"/>
      <c r="H205" s="86"/>
      <c r="I205" s="236"/>
      <c r="J205" s="87"/>
      <c r="K205" s="236"/>
      <c r="L205" s="120"/>
      <c r="M205" s="87"/>
      <c r="N205" s="87"/>
      <c r="O205" s="87"/>
      <c r="P205" s="87"/>
      <c r="Q205" s="87"/>
      <c r="R205" s="87"/>
    </row>
    <row r="206" spans="1:18" ht="130.5" customHeight="1">
      <c r="A206" s="799" t="s">
        <v>271</v>
      </c>
      <c r="B206" s="800"/>
      <c r="C206" s="800"/>
      <c r="D206" s="800"/>
      <c r="E206" s="800"/>
      <c r="F206" s="800"/>
      <c r="G206" s="800"/>
      <c r="H206" s="800"/>
      <c r="I206" s="236"/>
      <c r="J206" s="87"/>
      <c r="K206" s="236"/>
      <c r="L206" s="120"/>
      <c r="M206" s="87"/>
      <c r="N206" s="87"/>
      <c r="O206" s="87"/>
      <c r="P206" s="87"/>
      <c r="Q206" s="87"/>
      <c r="R206" s="87"/>
    </row>
    <row r="207" spans="1:18" ht="105" customHeight="1">
      <c r="A207" s="810" t="s">
        <v>272</v>
      </c>
      <c r="B207" s="811"/>
      <c r="C207" s="811"/>
      <c r="D207" s="811"/>
      <c r="E207" s="811"/>
      <c r="F207" s="811"/>
      <c r="G207" s="811"/>
      <c r="H207" s="811"/>
      <c r="I207" s="236"/>
      <c r="J207" s="87"/>
      <c r="K207" s="236"/>
      <c r="L207" s="120"/>
      <c r="M207" s="87"/>
      <c r="N207" s="87"/>
      <c r="O207" s="87"/>
      <c r="P207" s="87"/>
      <c r="Q207" s="87"/>
      <c r="R207" s="87"/>
    </row>
    <row r="208" spans="1:18" ht="63" customHeight="1">
      <c r="A208" s="799" t="s">
        <v>281</v>
      </c>
      <c r="B208" s="799"/>
      <c r="C208" s="799"/>
      <c r="D208" s="799"/>
      <c r="E208" s="799"/>
      <c r="F208" s="799"/>
      <c r="G208" s="799"/>
      <c r="H208" s="799"/>
      <c r="I208" s="236"/>
      <c r="J208" s="87"/>
      <c r="K208" s="236"/>
      <c r="L208" s="120"/>
      <c r="M208" s="87"/>
      <c r="N208" s="87"/>
      <c r="O208" s="87"/>
      <c r="P208" s="87"/>
      <c r="Q208" s="87"/>
      <c r="R208" s="87"/>
    </row>
    <row r="209" spans="1:18" ht="42.75" customHeight="1">
      <c r="A209" s="799" t="s">
        <v>282</v>
      </c>
      <c r="B209" s="799"/>
      <c r="C209" s="799"/>
      <c r="D209" s="799"/>
      <c r="E209" s="799"/>
      <c r="F209" s="799"/>
      <c r="G209" s="799"/>
      <c r="H209" s="799"/>
      <c r="I209" s="236"/>
      <c r="J209" s="87"/>
      <c r="K209" s="236"/>
      <c r="L209" s="120"/>
      <c r="M209" s="87"/>
      <c r="N209" s="87"/>
      <c r="O209" s="87"/>
      <c r="P209" s="87"/>
      <c r="Q209" s="87"/>
      <c r="R209" s="87"/>
    </row>
    <row r="210" spans="1:18" ht="20.25">
      <c r="A210" s="799" t="s">
        <v>38</v>
      </c>
      <c r="B210" s="799"/>
      <c r="C210" s="799"/>
      <c r="D210" s="799"/>
      <c r="E210" s="799"/>
      <c r="F210" s="799"/>
      <c r="G210" s="799"/>
      <c r="H210" s="799"/>
      <c r="I210" s="236"/>
      <c r="J210" s="87"/>
      <c r="K210" s="236"/>
      <c r="L210" s="120"/>
      <c r="M210" s="87"/>
      <c r="N210" s="87"/>
      <c r="O210" s="87"/>
      <c r="P210" s="87"/>
      <c r="Q210" s="87"/>
      <c r="R210" s="87"/>
    </row>
    <row r="211" spans="1:18" ht="20.25">
      <c r="A211" s="799" t="s">
        <v>39</v>
      </c>
      <c r="B211" s="799"/>
      <c r="C211" s="799"/>
      <c r="D211" s="799"/>
      <c r="E211" s="799"/>
      <c r="F211" s="799"/>
      <c r="G211" s="799"/>
      <c r="H211" s="799"/>
      <c r="I211" s="236"/>
      <c r="J211" s="87"/>
      <c r="K211" s="236"/>
      <c r="L211" s="120"/>
      <c r="M211" s="87"/>
      <c r="N211" s="87"/>
      <c r="O211" s="87"/>
      <c r="P211" s="87"/>
      <c r="Q211" s="87"/>
      <c r="R211" s="87"/>
    </row>
    <row r="212" spans="1:18" ht="20.25">
      <c r="A212" s="799" t="s">
        <v>40</v>
      </c>
      <c r="B212" s="799"/>
      <c r="C212" s="799"/>
      <c r="D212" s="799"/>
      <c r="E212" s="799"/>
      <c r="F212" s="799"/>
      <c r="G212" s="799"/>
      <c r="H212" s="799"/>
      <c r="I212" s="236"/>
      <c r="J212" s="87"/>
      <c r="K212" s="236"/>
      <c r="L212" s="120"/>
      <c r="M212" s="87"/>
      <c r="N212" s="87"/>
      <c r="O212" s="87"/>
      <c r="P212" s="87"/>
      <c r="Q212" s="87"/>
      <c r="R212" s="87"/>
    </row>
    <row r="213" spans="1:18" ht="20.25">
      <c r="A213" s="799" t="s">
        <v>273</v>
      </c>
      <c r="B213" s="799"/>
      <c r="C213" s="799"/>
      <c r="D213" s="799"/>
      <c r="E213" s="799"/>
      <c r="F213" s="799"/>
      <c r="G213" s="799"/>
      <c r="H213" s="799"/>
      <c r="I213" s="236"/>
      <c r="J213" s="87"/>
      <c r="K213" s="236"/>
      <c r="L213" s="120"/>
      <c r="M213" s="87"/>
      <c r="N213" s="87"/>
      <c r="O213" s="87"/>
      <c r="P213" s="87"/>
      <c r="Q213" s="87"/>
      <c r="R213" s="87"/>
    </row>
    <row r="214" spans="1:18" ht="60.75" customHeight="1">
      <c r="A214" s="799" t="s">
        <v>274</v>
      </c>
      <c r="B214" s="799"/>
      <c r="C214" s="799"/>
      <c r="D214" s="799"/>
      <c r="E214" s="799"/>
      <c r="F214" s="799"/>
      <c r="G214" s="799"/>
      <c r="H214" s="799"/>
      <c r="I214" s="236"/>
      <c r="J214" s="87"/>
      <c r="K214" s="236"/>
      <c r="L214" s="120"/>
      <c r="M214" s="87"/>
      <c r="N214" s="87"/>
      <c r="O214" s="87"/>
      <c r="P214" s="87"/>
      <c r="Q214" s="87"/>
      <c r="R214" s="87"/>
    </row>
    <row r="215" spans="1:18" ht="15">
      <c r="A215" s="87"/>
      <c r="B215" s="87"/>
      <c r="C215" s="87"/>
      <c r="D215" s="87"/>
      <c r="E215" s="87"/>
      <c r="F215" s="87"/>
      <c r="G215" s="87"/>
      <c r="H215" s="87"/>
      <c r="I215" s="236"/>
      <c r="J215" s="87"/>
      <c r="K215" s="236"/>
      <c r="L215" s="120"/>
      <c r="M215" s="87"/>
      <c r="N215" s="87"/>
      <c r="O215" s="87"/>
      <c r="P215" s="87"/>
      <c r="Q215" s="87"/>
      <c r="R215" s="87"/>
    </row>
    <row r="216" spans="1:18" ht="16.5" customHeight="1">
      <c r="A216" s="809"/>
      <c r="B216" s="809"/>
      <c r="C216" s="809"/>
      <c r="D216" s="809"/>
      <c r="E216" s="809"/>
      <c r="F216" s="809"/>
      <c r="G216" s="809"/>
      <c r="H216" s="809"/>
      <c r="M216" s="125"/>
      <c r="N216" s="125"/>
      <c r="O216" s="125"/>
      <c r="P216" s="125"/>
      <c r="Q216" s="125"/>
      <c r="R216" s="125"/>
    </row>
    <row r="217" spans="1:18" ht="16.5">
      <c r="A217" s="809"/>
      <c r="B217" s="809"/>
      <c r="C217" s="809"/>
      <c r="D217" s="809"/>
      <c r="E217" s="809"/>
      <c r="F217" s="809"/>
      <c r="G217" s="809"/>
      <c r="H217" s="809"/>
      <c r="M217" s="125"/>
      <c r="N217" s="125"/>
      <c r="O217" s="125"/>
      <c r="P217" s="125"/>
      <c r="Q217" s="125"/>
      <c r="R217" s="125"/>
    </row>
    <row r="218" spans="1:18" ht="16.5">
      <c r="A218" s="809"/>
      <c r="B218" s="809"/>
      <c r="C218" s="809"/>
      <c r="D218" s="809"/>
      <c r="E218" s="809"/>
      <c r="F218" s="809"/>
      <c r="G218" s="809"/>
      <c r="H218" s="809"/>
      <c r="M218" s="125"/>
      <c r="N218" s="125"/>
      <c r="O218" s="125"/>
      <c r="P218" s="125"/>
      <c r="Q218" s="125"/>
      <c r="R218" s="125"/>
    </row>
    <row r="219" spans="1:18" ht="16.5">
      <c r="A219" s="809"/>
      <c r="B219" s="809"/>
      <c r="C219" s="809"/>
      <c r="D219" s="809"/>
      <c r="E219" s="809"/>
      <c r="F219" s="809"/>
      <c r="G219" s="809"/>
      <c r="H219" s="809"/>
      <c r="M219" s="125"/>
      <c r="N219" s="125"/>
      <c r="O219" s="125"/>
      <c r="P219" s="125"/>
      <c r="Q219" s="125"/>
      <c r="R219" s="125"/>
    </row>
    <row r="220" spans="1:18" ht="16.5">
      <c r="A220" s="809"/>
      <c r="B220" s="809"/>
      <c r="C220" s="809"/>
      <c r="D220" s="809"/>
      <c r="E220" s="809"/>
      <c r="F220" s="809"/>
      <c r="G220" s="809"/>
      <c r="H220" s="809"/>
      <c r="M220" s="125"/>
      <c r="N220" s="125"/>
      <c r="O220" s="125"/>
      <c r="P220" s="125"/>
      <c r="Q220" s="125"/>
      <c r="R220" s="125"/>
    </row>
    <row r="221" spans="1:18" ht="16.5">
      <c r="A221" s="809"/>
      <c r="B221" s="809"/>
      <c r="C221" s="809"/>
      <c r="D221" s="809"/>
      <c r="E221" s="809"/>
      <c r="F221" s="809"/>
      <c r="G221" s="809"/>
      <c r="H221" s="809"/>
      <c r="M221" s="125"/>
      <c r="N221" s="125"/>
      <c r="O221" s="125"/>
      <c r="P221" s="125"/>
      <c r="Q221" s="125"/>
      <c r="R221" s="125"/>
    </row>
    <row r="222" spans="1:18" ht="16.5">
      <c r="A222" s="809"/>
      <c r="B222" s="809"/>
      <c r="C222" s="809"/>
      <c r="D222" s="809"/>
      <c r="E222" s="809"/>
      <c r="F222" s="809"/>
      <c r="G222" s="809"/>
      <c r="H222" s="809"/>
      <c r="M222" s="125"/>
      <c r="N222" s="125"/>
      <c r="O222" s="125"/>
      <c r="P222" s="125"/>
      <c r="Q222" s="125"/>
      <c r="R222" s="125"/>
    </row>
    <row r="223" spans="1:18" ht="16.5">
      <c r="A223" s="809"/>
      <c r="B223" s="809"/>
      <c r="C223" s="809"/>
      <c r="D223" s="809"/>
      <c r="E223" s="809"/>
      <c r="F223" s="809"/>
      <c r="G223" s="809"/>
      <c r="H223" s="809"/>
      <c r="M223" s="125"/>
      <c r="N223" s="125"/>
      <c r="O223" s="125"/>
      <c r="P223" s="125"/>
      <c r="Q223" s="125"/>
      <c r="R223" s="125"/>
    </row>
    <row r="224" spans="1:18" ht="16.5">
      <c r="A224" s="809"/>
      <c r="B224" s="809"/>
      <c r="C224" s="809"/>
      <c r="D224" s="809"/>
      <c r="E224" s="809"/>
      <c r="F224" s="809"/>
      <c r="G224" s="809"/>
      <c r="H224" s="809"/>
      <c r="M224" s="125"/>
      <c r="N224" s="125"/>
      <c r="O224" s="125"/>
      <c r="P224" s="125"/>
      <c r="Q224" s="125"/>
      <c r="R224" s="125"/>
    </row>
    <row r="225" spans="1:18" ht="16.5">
      <c r="A225" s="809"/>
      <c r="B225" s="809"/>
      <c r="C225" s="809"/>
      <c r="D225" s="809"/>
      <c r="E225" s="809"/>
      <c r="F225" s="809"/>
      <c r="G225" s="809"/>
      <c r="H225" s="809"/>
      <c r="M225" s="125"/>
      <c r="N225" s="125"/>
      <c r="O225" s="125"/>
      <c r="P225" s="125"/>
      <c r="Q225" s="125"/>
      <c r="R225" s="125"/>
    </row>
    <row r="226" spans="1:18" ht="16.5">
      <c r="A226" s="809"/>
      <c r="B226" s="809"/>
      <c r="C226" s="809"/>
      <c r="D226" s="809"/>
      <c r="E226" s="809"/>
      <c r="F226" s="809"/>
      <c r="G226" s="809"/>
      <c r="H226" s="809"/>
      <c r="M226" s="125"/>
      <c r="N226" s="125"/>
      <c r="O226" s="125"/>
      <c r="P226" s="125"/>
      <c r="Q226" s="125"/>
      <c r="R226" s="125"/>
    </row>
    <row r="227" spans="1:18" ht="16.5">
      <c r="A227" s="809"/>
      <c r="B227" s="809"/>
      <c r="C227" s="809"/>
      <c r="D227" s="809"/>
      <c r="E227" s="809"/>
      <c r="F227" s="809"/>
      <c r="G227" s="809"/>
      <c r="H227" s="809"/>
      <c r="M227" s="125"/>
      <c r="N227" s="125"/>
      <c r="O227" s="125"/>
      <c r="P227" s="125"/>
      <c r="Q227" s="125"/>
      <c r="R227" s="125"/>
    </row>
    <row r="228" spans="1:18" ht="16.5">
      <c r="A228" s="809"/>
      <c r="B228" s="809"/>
      <c r="C228" s="809"/>
      <c r="D228" s="809"/>
      <c r="E228" s="809"/>
      <c r="F228" s="809"/>
      <c r="G228" s="809"/>
      <c r="H228" s="809"/>
      <c r="M228" s="125"/>
      <c r="N228" s="125"/>
      <c r="O228" s="125"/>
      <c r="P228" s="125"/>
      <c r="Q228" s="125"/>
      <c r="R228" s="125"/>
    </row>
    <row r="229" spans="1:18" ht="16.5">
      <c r="A229" s="809"/>
      <c r="B229" s="809"/>
      <c r="C229" s="809"/>
      <c r="D229" s="809"/>
      <c r="E229" s="809"/>
      <c r="F229" s="809"/>
      <c r="G229" s="809"/>
      <c r="H229" s="809"/>
      <c r="M229" s="125"/>
      <c r="N229" s="125"/>
      <c r="O229" s="125"/>
      <c r="P229" s="125"/>
      <c r="Q229" s="125"/>
      <c r="R229" s="125"/>
    </row>
    <row r="230" spans="1:18" ht="16.5">
      <c r="A230" s="809"/>
      <c r="B230" s="809"/>
      <c r="C230" s="809"/>
      <c r="D230" s="809"/>
      <c r="E230" s="809"/>
      <c r="F230" s="809"/>
      <c r="G230" s="809"/>
      <c r="H230" s="809"/>
      <c r="M230" s="125"/>
      <c r="N230" s="125"/>
      <c r="O230" s="125"/>
      <c r="P230" s="125"/>
      <c r="Q230" s="125"/>
      <c r="R230" s="125"/>
    </row>
    <row r="231" spans="1:18" ht="16.5">
      <c r="A231" s="809"/>
      <c r="B231" s="809"/>
      <c r="C231" s="809"/>
      <c r="D231" s="809"/>
      <c r="E231" s="809"/>
      <c r="F231" s="809"/>
      <c r="G231" s="809"/>
      <c r="H231" s="809"/>
      <c r="M231" s="125"/>
      <c r="N231" s="125"/>
      <c r="O231" s="125"/>
      <c r="P231" s="125"/>
      <c r="Q231" s="125"/>
      <c r="R231" s="125"/>
    </row>
    <row r="232" spans="1:18" ht="16.5">
      <c r="A232" s="809"/>
      <c r="B232" s="809"/>
      <c r="C232" s="809"/>
      <c r="D232" s="809"/>
      <c r="E232" s="809"/>
      <c r="F232" s="809"/>
      <c r="G232" s="809"/>
      <c r="H232" s="809"/>
      <c r="M232" s="125"/>
      <c r="N232" s="125"/>
      <c r="O232" s="125"/>
      <c r="P232" s="125"/>
      <c r="Q232" s="125"/>
      <c r="R232" s="125"/>
    </row>
    <row r="233" spans="1:18" ht="16.5">
      <c r="A233" s="809"/>
      <c r="B233" s="809"/>
      <c r="C233" s="809"/>
      <c r="D233" s="809"/>
      <c r="E233" s="809"/>
      <c r="F233" s="809"/>
      <c r="G233" s="809"/>
      <c r="H233" s="809"/>
      <c r="M233" s="125"/>
      <c r="N233" s="125"/>
      <c r="O233" s="125"/>
      <c r="P233" s="125"/>
      <c r="Q233" s="125"/>
      <c r="R233" s="125"/>
    </row>
    <row r="234" spans="1:18" ht="16.5">
      <c r="A234" s="809"/>
      <c r="B234" s="809"/>
      <c r="C234" s="809"/>
      <c r="D234" s="809"/>
      <c r="E234" s="809"/>
      <c r="F234" s="809"/>
      <c r="G234" s="809"/>
      <c r="H234" s="809"/>
      <c r="M234" s="125"/>
      <c r="N234" s="125"/>
      <c r="O234" s="125"/>
      <c r="P234" s="125"/>
      <c r="Q234" s="125"/>
      <c r="R234" s="125"/>
    </row>
    <row r="235" spans="1:18" ht="16.5">
      <c r="A235" s="809"/>
      <c r="B235" s="809"/>
      <c r="C235" s="809"/>
      <c r="D235" s="809"/>
      <c r="E235" s="809"/>
      <c r="F235" s="809"/>
      <c r="G235" s="809"/>
      <c r="H235" s="809"/>
      <c r="M235" s="125"/>
      <c r="N235" s="125"/>
      <c r="O235" s="125"/>
      <c r="P235" s="125"/>
      <c r="Q235" s="125"/>
      <c r="R235" s="125"/>
    </row>
    <row r="236" spans="1:18" ht="16.5">
      <c r="A236" s="809"/>
      <c r="B236" s="809"/>
      <c r="C236" s="809"/>
      <c r="D236" s="809"/>
      <c r="E236" s="809"/>
      <c r="F236" s="809"/>
      <c r="G236" s="809"/>
      <c r="H236" s="809"/>
      <c r="M236" s="125"/>
      <c r="N236" s="125"/>
      <c r="O236" s="125"/>
      <c r="P236" s="125"/>
      <c r="Q236" s="125"/>
      <c r="R236" s="125"/>
    </row>
    <row r="237" spans="1:18" ht="16.5">
      <c r="A237" s="809"/>
      <c r="B237" s="809"/>
      <c r="C237" s="809"/>
      <c r="D237" s="809"/>
      <c r="E237" s="809"/>
      <c r="F237" s="809"/>
      <c r="G237" s="809"/>
      <c r="H237" s="809"/>
      <c r="M237" s="125"/>
      <c r="N237" s="125"/>
      <c r="O237" s="125"/>
      <c r="P237" s="125"/>
      <c r="Q237" s="125"/>
      <c r="R237" s="125"/>
    </row>
    <row r="238" spans="1:18" ht="16.5">
      <c r="A238" s="809"/>
      <c r="B238" s="809"/>
      <c r="C238" s="809"/>
      <c r="D238" s="809"/>
      <c r="E238" s="809"/>
      <c r="F238" s="809"/>
      <c r="G238" s="809"/>
      <c r="H238" s="809"/>
      <c r="M238" s="125"/>
      <c r="N238" s="125"/>
      <c r="O238" s="125"/>
      <c r="P238" s="125"/>
      <c r="Q238" s="125"/>
      <c r="R238" s="125"/>
    </row>
    <row r="239" spans="1:18" ht="16.5">
      <c r="A239" s="809"/>
      <c r="B239" s="809"/>
      <c r="C239" s="809"/>
      <c r="D239" s="809"/>
      <c r="E239" s="809"/>
      <c r="F239" s="809"/>
      <c r="G239" s="809"/>
      <c r="H239" s="809"/>
      <c r="M239" s="125"/>
      <c r="N239" s="125"/>
      <c r="O239" s="125"/>
      <c r="P239" s="125"/>
      <c r="Q239" s="125"/>
      <c r="R239" s="125"/>
    </row>
    <row r="240" spans="1:18" ht="16.5">
      <c r="A240" s="809"/>
      <c r="B240" s="809"/>
      <c r="C240" s="809"/>
      <c r="D240" s="809"/>
      <c r="E240" s="809"/>
      <c r="F240" s="809"/>
      <c r="G240" s="809"/>
      <c r="H240" s="809"/>
      <c r="M240" s="125"/>
      <c r="N240" s="125"/>
      <c r="O240" s="125"/>
      <c r="P240" s="125"/>
      <c r="Q240" s="125"/>
      <c r="R240" s="125"/>
    </row>
    <row r="241" spans="1:18" ht="16.5">
      <c r="A241" s="809"/>
      <c r="B241" s="809"/>
      <c r="C241" s="809"/>
      <c r="D241" s="809"/>
      <c r="E241" s="809"/>
      <c r="F241" s="809"/>
      <c r="G241" s="809"/>
      <c r="H241" s="809"/>
      <c r="M241" s="125"/>
      <c r="N241" s="125"/>
      <c r="O241" s="125"/>
      <c r="P241" s="125"/>
      <c r="Q241" s="125"/>
      <c r="R241" s="125"/>
    </row>
    <row r="242" spans="1:18" ht="16.5">
      <c r="A242" s="809"/>
      <c r="B242" s="809"/>
      <c r="C242" s="809"/>
      <c r="D242" s="809"/>
      <c r="E242" s="809"/>
      <c r="F242" s="809"/>
      <c r="G242" s="809"/>
      <c r="H242" s="809"/>
      <c r="M242" s="125"/>
      <c r="N242" s="125"/>
      <c r="O242" s="125"/>
      <c r="P242" s="125"/>
      <c r="Q242" s="125"/>
      <c r="R242" s="125"/>
    </row>
    <row r="243" spans="1:18" ht="16.5">
      <c r="A243" s="809"/>
      <c r="B243" s="809"/>
      <c r="C243" s="809"/>
      <c r="D243" s="809"/>
      <c r="E243" s="809"/>
      <c r="F243" s="809"/>
      <c r="G243" s="809"/>
      <c r="H243" s="809"/>
      <c r="M243" s="125"/>
      <c r="N243" s="125"/>
      <c r="O243" s="125"/>
      <c r="P243" s="125"/>
      <c r="Q243" s="125"/>
      <c r="R243" s="125"/>
    </row>
    <row r="244" spans="1:18" ht="16.5">
      <c r="A244" s="809"/>
      <c r="B244" s="809"/>
      <c r="C244" s="809"/>
      <c r="D244" s="809"/>
      <c r="E244" s="809"/>
      <c r="F244" s="809"/>
      <c r="G244" s="809"/>
      <c r="H244" s="809"/>
      <c r="M244" s="125"/>
      <c r="N244" s="125"/>
      <c r="O244" s="125"/>
      <c r="P244" s="125"/>
      <c r="Q244" s="125"/>
      <c r="R244" s="125"/>
    </row>
    <row r="245" spans="1:18" ht="16.5">
      <c r="A245" s="809"/>
      <c r="B245" s="809"/>
      <c r="C245" s="809"/>
      <c r="D245" s="809"/>
      <c r="E245" s="809"/>
      <c r="F245" s="809"/>
      <c r="G245" s="809"/>
      <c r="H245" s="809"/>
      <c r="M245" s="125"/>
      <c r="N245" s="125"/>
      <c r="O245" s="125"/>
      <c r="P245" s="125"/>
      <c r="Q245" s="125"/>
      <c r="R245" s="125"/>
    </row>
    <row r="246" spans="1:18" ht="16.5">
      <c r="A246" s="809"/>
      <c r="B246" s="809"/>
      <c r="C246" s="809"/>
      <c r="D246" s="809"/>
      <c r="E246" s="809"/>
      <c r="F246" s="809"/>
      <c r="G246" s="809"/>
      <c r="H246" s="809"/>
      <c r="M246" s="125"/>
      <c r="N246" s="125"/>
      <c r="O246" s="125"/>
      <c r="P246" s="125"/>
      <c r="Q246" s="125"/>
      <c r="R246" s="125"/>
    </row>
    <row r="247" spans="1:18" ht="16.5">
      <c r="A247" s="809"/>
      <c r="B247" s="809"/>
      <c r="C247" s="809"/>
      <c r="D247" s="809"/>
      <c r="E247" s="809"/>
      <c r="F247" s="809"/>
      <c r="G247" s="809"/>
      <c r="H247" s="809"/>
      <c r="M247" s="125"/>
      <c r="N247" s="125"/>
      <c r="O247" s="125"/>
      <c r="P247" s="125"/>
      <c r="Q247" s="125"/>
      <c r="R247" s="125"/>
    </row>
    <row r="248" spans="13:18" ht="18.75">
      <c r="M248" s="125"/>
      <c r="N248" s="125"/>
      <c r="O248" s="125"/>
      <c r="P248" s="125"/>
      <c r="Q248" s="125"/>
      <c r="R248" s="125"/>
    </row>
    <row r="249" spans="13:18" ht="18.75">
      <c r="M249" s="125"/>
      <c r="N249" s="125"/>
      <c r="O249" s="125"/>
      <c r="P249" s="125"/>
      <c r="Q249" s="125"/>
      <c r="R249" s="125"/>
    </row>
    <row r="250" spans="13:18" ht="18.75">
      <c r="M250" s="125"/>
      <c r="N250" s="125"/>
      <c r="O250" s="125"/>
      <c r="P250" s="125"/>
      <c r="Q250" s="125"/>
      <c r="R250" s="125"/>
    </row>
    <row r="251" spans="13:18" ht="18.75">
      <c r="M251" s="125"/>
      <c r="N251" s="125"/>
      <c r="O251" s="125"/>
      <c r="P251" s="125"/>
      <c r="Q251" s="125"/>
      <c r="R251" s="125"/>
    </row>
    <row r="252" spans="13:18" ht="18.75">
      <c r="M252" s="125"/>
      <c r="N252" s="125"/>
      <c r="O252" s="125"/>
      <c r="P252" s="125"/>
      <c r="Q252" s="125"/>
      <c r="R252" s="125"/>
    </row>
    <row r="253" spans="13:18" ht="18.75">
      <c r="M253" s="125"/>
      <c r="N253" s="125"/>
      <c r="O253" s="125"/>
      <c r="P253" s="125"/>
      <c r="Q253" s="125"/>
      <c r="R253" s="125"/>
    </row>
    <row r="254" spans="13:18" ht="18.75">
      <c r="M254" s="125"/>
      <c r="N254" s="125"/>
      <c r="O254" s="125"/>
      <c r="P254" s="125"/>
      <c r="Q254" s="125"/>
      <c r="R254" s="125"/>
    </row>
    <row r="255" spans="13:18" ht="18.75">
      <c r="M255" s="125"/>
      <c r="N255" s="125"/>
      <c r="O255" s="125"/>
      <c r="P255" s="125"/>
      <c r="Q255" s="125"/>
      <c r="R255" s="125"/>
    </row>
    <row r="256" spans="13:18" ht="18.75">
      <c r="M256" s="125"/>
      <c r="N256" s="125"/>
      <c r="O256" s="125"/>
      <c r="P256" s="125"/>
      <c r="Q256" s="125"/>
      <c r="R256" s="125"/>
    </row>
    <row r="257" spans="13:18" ht="18.75">
      <c r="M257" s="125"/>
      <c r="N257" s="125"/>
      <c r="O257" s="125"/>
      <c r="P257" s="125"/>
      <c r="Q257" s="125"/>
      <c r="R257" s="125"/>
    </row>
    <row r="258" spans="13:18" ht="18.75">
      <c r="M258" s="125"/>
      <c r="N258" s="125"/>
      <c r="O258" s="125"/>
      <c r="P258" s="125"/>
      <c r="Q258" s="125"/>
      <c r="R258" s="125"/>
    </row>
    <row r="259" spans="13:18" ht="18.75">
      <c r="M259" s="125"/>
      <c r="N259" s="125"/>
      <c r="O259" s="125"/>
      <c r="P259" s="125"/>
      <c r="Q259" s="125"/>
      <c r="R259" s="125"/>
    </row>
    <row r="260" spans="13:18" ht="18.75">
      <c r="M260" s="125"/>
      <c r="N260" s="125"/>
      <c r="O260" s="125"/>
      <c r="P260" s="125"/>
      <c r="Q260" s="125"/>
      <c r="R260" s="125"/>
    </row>
    <row r="261" spans="13:18" ht="18.75">
      <c r="M261" s="125"/>
      <c r="N261" s="125"/>
      <c r="O261" s="125"/>
      <c r="P261" s="125"/>
      <c r="Q261" s="125"/>
      <c r="R261" s="125"/>
    </row>
    <row r="262" spans="13:18" ht="18.75">
      <c r="M262" s="125"/>
      <c r="N262" s="125"/>
      <c r="O262" s="125"/>
      <c r="P262" s="125"/>
      <c r="Q262" s="125"/>
      <c r="R262" s="125"/>
    </row>
    <row r="263" spans="13:18" ht="18.75">
      <c r="M263" s="125"/>
      <c r="N263" s="125"/>
      <c r="O263" s="125"/>
      <c r="P263" s="125"/>
      <c r="Q263" s="125"/>
      <c r="R263" s="125"/>
    </row>
    <row r="264" spans="13:18" ht="18.75">
      <c r="M264" s="125"/>
      <c r="N264" s="125"/>
      <c r="O264" s="125"/>
      <c r="P264" s="125"/>
      <c r="Q264" s="125"/>
      <c r="R264" s="125"/>
    </row>
    <row r="265" spans="13:18" ht="18.75">
      <c r="M265" s="125"/>
      <c r="N265" s="125"/>
      <c r="O265" s="125"/>
      <c r="P265" s="125"/>
      <c r="Q265" s="125"/>
      <c r="R265" s="125"/>
    </row>
    <row r="266" spans="13:18" ht="18.75">
      <c r="M266" s="125"/>
      <c r="N266" s="125"/>
      <c r="O266" s="125"/>
      <c r="P266" s="125"/>
      <c r="Q266" s="125"/>
      <c r="R266" s="125"/>
    </row>
    <row r="267" spans="13:18" ht="18.75">
      <c r="M267" s="125"/>
      <c r="N267" s="125"/>
      <c r="O267" s="125"/>
      <c r="P267" s="125"/>
      <c r="Q267" s="125"/>
      <c r="R267" s="125"/>
    </row>
    <row r="268" spans="13:18" ht="18.75">
      <c r="M268" s="125"/>
      <c r="N268" s="125"/>
      <c r="O268" s="125"/>
      <c r="P268" s="125"/>
      <c r="Q268" s="125"/>
      <c r="R268" s="125"/>
    </row>
    <row r="269" spans="13:18" ht="18.75">
      <c r="M269" s="125"/>
      <c r="N269" s="125"/>
      <c r="O269" s="125"/>
      <c r="P269" s="125"/>
      <c r="Q269" s="125"/>
      <c r="R269" s="125"/>
    </row>
    <row r="270" spans="13:18" ht="18.75">
      <c r="M270" s="125"/>
      <c r="N270" s="125"/>
      <c r="O270" s="125"/>
      <c r="P270" s="125"/>
      <c r="Q270" s="125"/>
      <c r="R270" s="125"/>
    </row>
    <row r="271" spans="13:18" ht="18.75">
      <c r="M271" s="125"/>
      <c r="N271" s="125"/>
      <c r="O271" s="125"/>
      <c r="P271" s="125"/>
      <c r="Q271" s="125"/>
      <c r="R271" s="125"/>
    </row>
    <row r="272" spans="13:18" ht="18.75">
      <c r="M272" s="125"/>
      <c r="N272" s="125"/>
      <c r="O272" s="125"/>
      <c r="P272" s="125"/>
      <c r="Q272" s="125"/>
      <c r="R272" s="125"/>
    </row>
    <row r="273" spans="13:18" ht="18.75">
      <c r="M273" s="125"/>
      <c r="N273" s="125"/>
      <c r="O273" s="125"/>
      <c r="P273" s="125"/>
      <c r="Q273" s="125"/>
      <c r="R273" s="125"/>
    </row>
    <row r="274" spans="13:18" ht="18.75">
      <c r="M274" s="125"/>
      <c r="N274" s="125"/>
      <c r="O274" s="125"/>
      <c r="P274" s="125"/>
      <c r="Q274" s="125"/>
      <c r="R274" s="125"/>
    </row>
    <row r="275" spans="13:18" ht="18.75">
      <c r="M275" s="125"/>
      <c r="N275" s="125"/>
      <c r="O275" s="125"/>
      <c r="P275" s="125"/>
      <c r="Q275" s="125"/>
      <c r="R275" s="125"/>
    </row>
    <row r="276" spans="13:18" ht="18.75">
      <c r="M276" s="125"/>
      <c r="N276" s="125"/>
      <c r="O276" s="125"/>
      <c r="P276" s="125"/>
      <c r="Q276" s="125"/>
      <c r="R276" s="125"/>
    </row>
    <row r="277" spans="13:18" ht="18.75">
      <c r="M277" s="125"/>
      <c r="N277" s="125"/>
      <c r="O277" s="125"/>
      <c r="P277" s="125"/>
      <c r="Q277" s="125"/>
      <c r="R277" s="125"/>
    </row>
    <row r="278" spans="13:18" ht="18.75">
      <c r="M278" s="125"/>
      <c r="N278" s="125"/>
      <c r="O278" s="125"/>
      <c r="P278" s="125"/>
      <c r="Q278" s="125"/>
      <c r="R278" s="125"/>
    </row>
    <row r="279" spans="13:18" ht="18.75">
      <c r="M279" s="125"/>
      <c r="N279" s="125"/>
      <c r="O279" s="125"/>
      <c r="P279" s="125"/>
      <c r="Q279" s="125"/>
      <c r="R279" s="125"/>
    </row>
    <row r="280" spans="13:18" ht="18.75">
      <c r="M280" s="125"/>
      <c r="N280" s="125"/>
      <c r="O280" s="125"/>
      <c r="P280" s="125"/>
      <c r="Q280" s="125"/>
      <c r="R280" s="125"/>
    </row>
    <row r="281" spans="13:18" ht="18.75">
      <c r="M281" s="125"/>
      <c r="N281" s="125"/>
      <c r="O281" s="125"/>
      <c r="P281" s="125"/>
      <c r="Q281" s="125"/>
      <c r="R281" s="125"/>
    </row>
    <row r="282" spans="13:18" ht="18.75">
      <c r="M282" s="125"/>
      <c r="N282" s="125"/>
      <c r="O282" s="125"/>
      <c r="P282" s="125"/>
      <c r="Q282" s="125"/>
      <c r="R282" s="125"/>
    </row>
    <row r="283" spans="13:18" ht="18.75">
      <c r="M283" s="125"/>
      <c r="N283" s="125"/>
      <c r="O283" s="125"/>
      <c r="P283" s="125"/>
      <c r="Q283" s="125"/>
      <c r="R283" s="125"/>
    </row>
    <row r="284" spans="13:18" ht="18.75">
      <c r="M284" s="125"/>
      <c r="N284" s="125"/>
      <c r="O284" s="125"/>
      <c r="P284" s="125"/>
      <c r="Q284" s="125"/>
      <c r="R284" s="125"/>
    </row>
    <row r="285" spans="13:18" ht="18.75">
      <c r="M285" s="125"/>
      <c r="N285" s="125"/>
      <c r="O285" s="125"/>
      <c r="P285" s="125"/>
      <c r="Q285" s="125"/>
      <c r="R285" s="125"/>
    </row>
    <row r="286" spans="13:18" ht="18.75">
      <c r="M286" s="125"/>
      <c r="N286" s="125"/>
      <c r="O286" s="125"/>
      <c r="P286" s="125"/>
      <c r="Q286" s="125"/>
      <c r="R286" s="125"/>
    </row>
    <row r="287" spans="13:18" ht="18.75">
      <c r="M287" s="125"/>
      <c r="N287" s="125"/>
      <c r="O287" s="125"/>
      <c r="P287" s="125"/>
      <c r="Q287" s="125"/>
      <c r="R287" s="125"/>
    </row>
    <row r="288" spans="13:18" ht="18.75">
      <c r="M288" s="125"/>
      <c r="N288" s="125"/>
      <c r="O288" s="125"/>
      <c r="P288" s="125"/>
      <c r="Q288" s="125"/>
      <c r="R288" s="125"/>
    </row>
    <row r="289" spans="13:18" ht="18.75">
      <c r="M289" s="125"/>
      <c r="N289" s="125"/>
      <c r="O289" s="125"/>
      <c r="P289" s="125"/>
      <c r="Q289" s="125"/>
      <c r="R289" s="125"/>
    </row>
    <row r="290" spans="13:18" ht="18.75">
      <c r="M290" s="125"/>
      <c r="N290" s="125"/>
      <c r="O290" s="125"/>
      <c r="P290" s="125"/>
      <c r="Q290" s="125"/>
      <c r="R290" s="125"/>
    </row>
    <row r="291" spans="13:18" ht="18.75">
      <c r="M291" s="125"/>
      <c r="N291" s="125"/>
      <c r="O291" s="125"/>
      <c r="P291" s="125"/>
      <c r="Q291" s="125"/>
      <c r="R291" s="125"/>
    </row>
    <row r="292" spans="13:18" ht="18.75">
      <c r="M292" s="125"/>
      <c r="N292" s="125"/>
      <c r="O292" s="125"/>
      <c r="P292" s="125"/>
      <c r="Q292" s="125"/>
      <c r="R292" s="125"/>
    </row>
    <row r="293" spans="13:18" ht="18.75">
      <c r="M293" s="125"/>
      <c r="N293" s="125"/>
      <c r="O293" s="125"/>
      <c r="P293" s="125"/>
      <c r="Q293" s="125"/>
      <c r="R293" s="125"/>
    </row>
    <row r="294" spans="13:18" ht="18.75">
      <c r="M294" s="125"/>
      <c r="N294" s="125"/>
      <c r="O294" s="125"/>
      <c r="P294" s="125"/>
      <c r="Q294" s="125"/>
      <c r="R294" s="125"/>
    </row>
    <row r="295" spans="13:18" ht="18.75">
      <c r="M295" s="125"/>
      <c r="N295" s="125"/>
      <c r="O295" s="125"/>
      <c r="P295" s="125"/>
      <c r="Q295" s="125"/>
      <c r="R295" s="125"/>
    </row>
    <row r="296" spans="13:18" ht="18.75">
      <c r="M296" s="125"/>
      <c r="N296" s="125"/>
      <c r="O296" s="125"/>
      <c r="P296" s="125"/>
      <c r="Q296" s="125"/>
      <c r="R296" s="125"/>
    </row>
    <row r="297" spans="13:18" ht="18.75">
      <c r="M297" s="125"/>
      <c r="N297" s="125"/>
      <c r="O297" s="125"/>
      <c r="P297" s="125"/>
      <c r="Q297" s="125"/>
      <c r="R297" s="125"/>
    </row>
    <row r="298" spans="13:18" ht="18.75">
      <c r="M298" s="125"/>
      <c r="N298" s="125"/>
      <c r="O298" s="125"/>
      <c r="P298" s="125"/>
      <c r="Q298" s="125"/>
      <c r="R298" s="125"/>
    </row>
    <row r="299" spans="13:18" ht="18.75">
      <c r="M299" s="125"/>
      <c r="N299" s="125"/>
      <c r="O299" s="125"/>
      <c r="P299" s="125"/>
      <c r="Q299" s="125"/>
      <c r="R299" s="125"/>
    </row>
    <row r="300" spans="13:18" ht="18.75">
      <c r="M300" s="125"/>
      <c r="N300" s="125"/>
      <c r="O300" s="125"/>
      <c r="P300" s="125"/>
      <c r="Q300" s="125"/>
      <c r="R300" s="125"/>
    </row>
    <row r="301" spans="13:18" ht="18.75">
      <c r="M301" s="125"/>
      <c r="N301" s="125"/>
      <c r="O301" s="125"/>
      <c r="P301" s="125"/>
      <c r="Q301" s="125"/>
      <c r="R301" s="125"/>
    </row>
    <row r="302" spans="13:18" ht="18.75">
      <c r="M302" s="125"/>
      <c r="N302" s="125"/>
      <c r="O302" s="125"/>
      <c r="P302" s="125"/>
      <c r="Q302" s="125"/>
      <c r="R302" s="125"/>
    </row>
    <row r="303" spans="13:18" ht="18.75">
      <c r="M303" s="125"/>
      <c r="N303" s="125"/>
      <c r="O303" s="125"/>
      <c r="P303" s="125"/>
      <c r="Q303" s="125"/>
      <c r="R303" s="125"/>
    </row>
    <row r="304" spans="13:18" ht="18.75">
      <c r="M304" s="125"/>
      <c r="N304" s="125"/>
      <c r="O304" s="125"/>
      <c r="P304" s="125"/>
      <c r="Q304" s="125"/>
      <c r="R304" s="125"/>
    </row>
    <row r="305" spans="13:18" ht="18.75">
      <c r="M305" s="125"/>
      <c r="N305" s="125"/>
      <c r="O305" s="125"/>
      <c r="P305" s="125"/>
      <c r="Q305" s="125"/>
      <c r="R305" s="125"/>
    </row>
    <row r="306" spans="13:18" ht="18.75">
      <c r="M306" s="125"/>
      <c r="N306" s="125"/>
      <c r="O306" s="125"/>
      <c r="P306" s="125"/>
      <c r="Q306" s="125"/>
      <c r="R306" s="125"/>
    </row>
    <row r="307" spans="13:18" ht="18.75">
      <c r="M307" s="125"/>
      <c r="N307" s="125"/>
      <c r="O307" s="125"/>
      <c r="P307" s="125"/>
      <c r="Q307" s="125"/>
      <c r="R307" s="125"/>
    </row>
    <row r="308" spans="13:18" ht="18.75">
      <c r="M308" s="125"/>
      <c r="N308" s="125"/>
      <c r="O308" s="125"/>
      <c r="P308" s="125"/>
      <c r="Q308" s="125"/>
      <c r="R308" s="125"/>
    </row>
    <row r="309" spans="13:18" ht="18.75">
      <c r="M309" s="125"/>
      <c r="N309" s="125"/>
      <c r="O309" s="125"/>
      <c r="P309" s="125"/>
      <c r="Q309" s="125"/>
      <c r="R309" s="125"/>
    </row>
    <row r="310" spans="13:18" ht="18.75">
      <c r="M310" s="125"/>
      <c r="N310" s="125"/>
      <c r="O310" s="125"/>
      <c r="P310" s="125"/>
      <c r="Q310" s="125"/>
      <c r="R310" s="125"/>
    </row>
    <row r="311" spans="13:18" ht="18.75">
      <c r="M311" s="125"/>
      <c r="N311" s="125"/>
      <c r="O311" s="125"/>
      <c r="P311" s="125"/>
      <c r="Q311" s="125"/>
      <c r="R311" s="125"/>
    </row>
    <row r="312" spans="13:18" ht="18.75">
      <c r="M312" s="125"/>
      <c r="N312" s="125"/>
      <c r="O312" s="125"/>
      <c r="P312" s="125"/>
      <c r="Q312" s="125"/>
      <c r="R312" s="125"/>
    </row>
    <row r="313" spans="13:18" ht="18.75">
      <c r="M313" s="125"/>
      <c r="N313" s="125"/>
      <c r="O313" s="125"/>
      <c r="P313" s="125"/>
      <c r="Q313" s="125"/>
      <c r="R313" s="125"/>
    </row>
    <row r="314" spans="13:18" ht="18.75">
      <c r="M314" s="125"/>
      <c r="N314" s="125"/>
      <c r="O314" s="125"/>
      <c r="P314" s="125"/>
      <c r="Q314" s="125"/>
      <c r="R314" s="125"/>
    </row>
    <row r="315" spans="13:18" ht="18.75">
      <c r="M315" s="125"/>
      <c r="N315" s="125"/>
      <c r="O315" s="125"/>
      <c r="P315" s="125"/>
      <c r="Q315" s="125"/>
      <c r="R315" s="125"/>
    </row>
    <row r="316" spans="13:18" ht="18.75">
      <c r="M316" s="125"/>
      <c r="N316" s="125"/>
      <c r="O316" s="125"/>
      <c r="P316" s="125"/>
      <c r="Q316" s="125"/>
      <c r="R316" s="125"/>
    </row>
    <row r="317" spans="13:18" ht="18.75">
      <c r="M317" s="125"/>
      <c r="N317" s="125"/>
      <c r="O317" s="125"/>
      <c r="P317" s="125"/>
      <c r="Q317" s="125"/>
      <c r="R317" s="125"/>
    </row>
    <row r="318" spans="13:18" ht="18.75">
      <c r="M318" s="125"/>
      <c r="N318" s="125"/>
      <c r="O318" s="125"/>
      <c r="P318" s="125"/>
      <c r="Q318" s="125"/>
      <c r="R318" s="125"/>
    </row>
    <row r="319" spans="13:18" ht="18.75">
      <c r="M319" s="125"/>
      <c r="N319" s="125"/>
      <c r="O319" s="125"/>
      <c r="P319" s="125"/>
      <c r="Q319" s="125"/>
      <c r="R319" s="125"/>
    </row>
    <row r="320" spans="13:18" ht="18.75">
      <c r="M320" s="125"/>
      <c r="N320" s="125"/>
      <c r="O320" s="125"/>
      <c r="P320" s="125"/>
      <c r="Q320" s="125"/>
      <c r="R320" s="125"/>
    </row>
    <row r="321" spans="13:18" ht="18.75">
      <c r="M321" s="125"/>
      <c r="N321" s="125"/>
      <c r="O321" s="125"/>
      <c r="P321" s="125"/>
      <c r="Q321" s="125"/>
      <c r="R321" s="125"/>
    </row>
    <row r="322" spans="13:18" ht="18.75">
      <c r="M322" s="125"/>
      <c r="N322" s="125"/>
      <c r="O322" s="125"/>
      <c r="P322" s="125"/>
      <c r="Q322" s="125"/>
      <c r="R322" s="125"/>
    </row>
    <row r="323" spans="13:18" ht="18.75">
      <c r="M323" s="125"/>
      <c r="N323" s="125"/>
      <c r="O323" s="125"/>
      <c r="P323" s="125"/>
      <c r="Q323" s="125"/>
      <c r="R323" s="125"/>
    </row>
    <row r="324" spans="13:18" ht="18.75">
      <c r="M324" s="125"/>
      <c r="N324" s="125"/>
      <c r="O324" s="125"/>
      <c r="P324" s="125"/>
      <c r="Q324" s="125"/>
      <c r="R324" s="125"/>
    </row>
    <row r="325" spans="13:18" ht="18.75">
      <c r="M325" s="125"/>
      <c r="N325" s="125"/>
      <c r="O325" s="125"/>
      <c r="P325" s="125"/>
      <c r="Q325" s="125"/>
      <c r="R325" s="125"/>
    </row>
    <row r="326" spans="13:18" ht="18.75">
      <c r="M326" s="125"/>
      <c r="N326" s="125"/>
      <c r="O326" s="125"/>
      <c r="P326" s="125"/>
      <c r="Q326" s="125"/>
      <c r="R326" s="125"/>
    </row>
    <row r="327" spans="13:18" ht="18.75">
      <c r="M327" s="125"/>
      <c r="N327" s="125"/>
      <c r="O327" s="125"/>
      <c r="P327" s="125"/>
      <c r="Q327" s="125"/>
      <c r="R327" s="125"/>
    </row>
    <row r="328" spans="13:18" ht="18.75">
      <c r="M328" s="125"/>
      <c r="N328" s="125"/>
      <c r="O328" s="125"/>
      <c r="P328" s="125"/>
      <c r="Q328" s="125"/>
      <c r="R328" s="125"/>
    </row>
    <row r="329" spans="13:18" ht="18.75">
      <c r="M329" s="125"/>
      <c r="N329" s="125"/>
      <c r="O329" s="125"/>
      <c r="P329" s="125"/>
      <c r="Q329" s="125"/>
      <c r="R329" s="125"/>
    </row>
    <row r="330" spans="13:18" ht="18.75">
      <c r="M330" s="125"/>
      <c r="N330" s="125"/>
      <c r="O330" s="125"/>
      <c r="P330" s="125"/>
      <c r="Q330" s="125"/>
      <c r="R330" s="125"/>
    </row>
    <row r="331" spans="13:18" ht="18.75">
      <c r="M331" s="125"/>
      <c r="N331" s="125"/>
      <c r="O331" s="125"/>
      <c r="P331" s="125"/>
      <c r="Q331" s="125"/>
      <c r="R331" s="125"/>
    </row>
    <row r="332" spans="13:18" ht="18.75">
      <c r="M332" s="125"/>
      <c r="N332" s="125"/>
      <c r="O332" s="125"/>
      <c r="P332" s="125"/>
      <c r="Q332" s="125"/>
      <c r="R332" s="125"/>
    </row>
    <row r="333" spans="13:18" ht="18.75">
      <c r="M333" s="125"/>
      <c r="N333" s="125"/>
      <c r="O333" s="125"/>
      <c r="P333" s="125"/>
      <c r="Q333" s="125"/>
      <c r="R333" s="125"/>
    </row>
    <row r="334" spans="13:18" ht="18.75">
      <c r="M334" s="125"/>
      <c r="N334" s="125"/>
      <c r="O334" s="125"/>
      <c r="P334" s="125"/>
      <c r="Q334" s="125"/>
      <c r="R334" s="125"/>
    </row>
    <row r="335" spans="13:18" ht="18.75">
      <c r="M335" s="125"/>
      <c r="N335" s="125"/>
      <c r="O335" s="125"/>
      <c r="P335" s="125"/>
      <c r="Q335" s="125"/>
      <c r="R335" s="125"/>
    </row>
    <row r="336" spans="13:18" ht="18.75">
      <c r="M336" s="125"/>
      <c r="N336" s="125"/>
      <c r="O336" s="125"/>
      <c r="P336" s="125"/>
      <c r="Q336" s="125"/>
      <c r="R336" s="125"/>
    </row>
    <row r="337" spans="13:18" ht="18.75">
      <c r="M337" s="125"/>
      <c r="N337" s="125"/>
      <c r="O337" s="125"/>
      <c r="P337" s="125"/>
      <c r="Q337" s="125"/>
      <c r="R337" s="125"/>
    </row>
    <row r="338" spans="13:18" ht="18.75">
      <c r="M338" s="125"/>
      <c r="N338" s="125"/>
      <c r="O338" s="125"/>
      <c r="P338" s="125"/>
      <c r="Q338" s="125"/>
      <c r="R338" s="125"/>
    </row>
    <row r="339" spans="13:18" ht="18.75">
      <c r="M339" s="125"/>
      <c r="N339" s="125"/>
      <c r="O339" s="125"/>
      <c r="P339" s="125"/>
      <c r="Q339" s="125"/>
      <c r="R339" s="125"/>
    </row>
  </sheetData>
  <sheetProtection/>
  <mergeCells count="25">
    <mergeCell ref="A2:R2"/>
    <mergeCell ref="M3:R3"/>
    <mergeCell ref="A4:A5"/>
    <mergeCell ref="B4:F4"/>
    <mergeCell ref="G4:R4"/>
    <mergeCell ref="A181:E181"/>
    <mergeCell ref="A135:R135"/>
    <mergeCell ref="A7:R7"/>
    <mergeCell ref="K183:N183"/>
    <mergeCell ref="A183:C183"/>
    <mergeCell ref="L185:M185"/>
    <mergeCell ref="A216:H247"/>
    <mergeCell ref="A209:H209"/>
    <mergeCell ref="A210:H210"/>
    <mergeCell ref="A211:H211"/>
    <mergeCell ref="A212:H212"/>
    <mergeCell ref="A213:H213"/>
    <mergeCell ref="A214:H214"/>
    <mergeCell ref="A207:H207"/>
    <mergeCell ref="A208:H208"/>
    <mergeCell ref="A197:H197"/>
    <mergeCell ref="A206:H206"/>
    <mergeCell ref="A198:H198"/>
    <mergeCell ref="A199:H199"/>
    <mergeCell ref="A203:H203"/>
  </mergeCells>
  <printOptions/>
  <pageMargins left="0.28" right="0.15748031496062992" top="0.15748031496062992" bottom="0.15748031496062992" header="0.15748031496062992" footer="0.15748031496062992"/>
  <pageSetup fitToHeight="14" horizontalDpi="600" verticalDpi="600" orientation="landscape" paperSize="9" scale="58" r:id="rId1"/>
  <rowBreaks count="2" manualBreakCount="2">
    <brk id="160" max="17" man="1"/>
    <brk id="174" max="17" man="1"/>
  </rowBreaks>
</worksheet>
</file>

<file path=xl/worksheets/sheet2.xml><?xml version="1.0" encoding="utf-8"?>
<worksheet xmlns="http://schemas.openxmlformats.org/spreadsheetml/2006/main" xmlns:r="http://schemas.openxmlformats.org/officeDocument/2006/relationships">
  <sheetPr>
    <tabColor rgb="FFFFC000"/>
    <pageSetUpPr fitToPage="1"/>
  </sheetPr>
  <dimension ref="A1:X301"/>
  <sheetViews>
    <sheetView showZeros="0" view="pageBreakPreview" zoomScale="70" zoomScaleNormal="65" zoomScaleSheetLayoutView="70" zoomScalePageLayoutView="0" workbookViewId="0" topLeftCell="A1">
      <selection activeCell="D12" sqref="D12"/>
    </sheetView>
  </sheetViews>
  <sheetFormatPr defaultColWidth="12.19921875" defaultRowHeight="15"/>
  <cols>
    <col min="1" max="1" width="61.69921875" style="123" customWidth="1"/>
    <col min="2" max="2" width="11.3984375" style="124" customWidth="1"/>
    <col min="3" max="3" width="12.19921875" style="79" customWidth="1"/>
    <col min="4" max="4" width="10.69921875" style="79" customWidth="1"/>
    <col min="5" max="5" width="11" style="79" customWidth="1"/>
    <col min="6" max="6" width="13.8984375" style="82" customWidth="1"/>
    <col min="7" max="7" width="13.19921875" style="234" hidden="1" customWidth="1"/>
    <col min="8" max="8" width="11.69921875" style="229" hidden="1" customWidth="1"/>
    <col min="9" max="9" width="12.19921875" style="237" hidden="1" customWidth="1"/>
    <col min="10" max="10" width="11.69921875" style="229" hidden="1" customWidth="1"/>
    <col min="11" max="11" width="11.69921875" style="15" customWidth="1"/>
    <col min="12" max="12" width="12.69921875" style="15" customWidth="1"/>
    <col min="13" max="14" width="9.3984375" style="15" customWidth="1"/>
    <col min="15" max="15" width="11.69921875" style="257" hidden="1" customWidth="1"/>
    <col min="16" max="16" width="8.8984375" style="282" hidden="1" customWidth="1"/>
    <col min="17" max="17" width="10.69921875" style="257" hidden="1" customWidth="1"/>
    <col min="18" max="18" width="10.59765625" style="282" hidden="1" customWidth="1"/>
    <col min="19" max="19" width="36.19921875" style="15" customWidth="1"/>
    <col min="20" max="22" width="12.19921875" style="15" customWidth="1"/>
    <col min="23" max="23" width="12.19921875" style="142" customWidth="1"/>
    <col min="24" max="16384" width="12.19921875" style="15" customWidth="1"/>
  </cols>
  <sheetData>
    <row r="1" spans="1:23" ht="18.75">
      <c r="A1" s="244"/>
      <c r="B1" s="191"/>
      <c r="C1" s="245"/>
      <c r="D1" s="245"/>
      <c r="E1" s="245"/>
      <c r="F1" s="287"/>
      <c r="G1" s="288"/>
      <c r="H1" s="289"/>
      <c r="I1" s="290"/>
      <c r="J1" s="289"/>
      <c r="K1" s="125"/>
      <c r="L1" s="125"/>
      <c r="M1" s="125"/>
      <c r="N1" s="125"/>
      <c r="O1" s="258"/>
      <c r="P1" s="258"/>
      <c r="Q1" s="258"/>
      <c r="R1" s="291"/>
      <c r="S1" s="15">
        <v>16</v>
      </c>
      <c r="W1" s="253"/>
    </row>
    <row r="2" spans="1:23" s="127" customFormat="1" ht="22.5">
      <c r="A2" s="823" t="s">
        <v>325</v>
      </c>
      <c r="B2" s="823"/>
      <c r="C2" s="823"/>
      <c r="D2" s="823"/>
      <c r="E2" s="823"/>
      <c r="F2" s="823"/>
      <c r="G2" s="823"/>
      <c r="H2" s="823"/>
      <c r="I2" s="823"/>
      <c r="J2" s="823"/>
      <c r="K2" s="823"/>
      <c r="L2" s="823"/>
      <c r="M2" s="823"/>
      <c r="N2" s="823"/>
      <c r="O2" s="823"/>
      <c r="P2" s="823"/>
      <c r="Q2" s="823"/>
      <c r="R2" s="824"/>
      <c r="W2" s="254"/>
    </row>
    <row r="3" spans="1:23" s="127" customFormat="1" ht="20.25">
      <c r="A3" s="292"/>
      <c r="B3" s="293"/>
      <c r="C3" s="294"/>
      <c r="D3" s="295"/>
      <c r="E3" s="295"/>
      <c r="F3" s="296"/>
      <c r="G3" s="297"/>
      <c r="H3" s="297"/>
      <c r="I3" s="290"/>
      <c r="J3" s="290"/>
      <c r="K3" s="298"/>
      <c r="L3" s="794"/>
      <c r="M3" s="794"/>
      <c r="N3" s="794"/>
      <c r="O3" s="794"/>
      <c r="P3" s="794"/>
      <c r="Q3" s="794"/>
      <c r="R3" s="825"/>
      <c r="W3" s="128"/>
    </row>
    <row r="4" spans="1:23" s="132" customFormat="1" ht="18">
      <c r="A4" s="818" t="s">
        <v>61</v>
      </c>
      <c r="B4" s="820">
        <v>2016</v>
      </c>
      <c r="C4" s="821"/>
      <c r="D4" s="821"/>
      <c r="E4" s="822"/>
      <c r="F4" s="820">
        <v>2017</v>
      </c>
      <c r="G4" s="821"/>
      <c r="H4" s="821"/>
      <c r="I4" s="821"/>
      <c r="J4" s="821"/>
      <c r="K4" s="821"/>
      <c r="L4" s="821"/>
      <c r="M4" s="821"/>
      <c r="N4" s="826"/>
      <c r="O4" s="259"/>
      <c r="P4" s="259"/>
      <c r="Q4" s="259"/>
      <c r="R4" s="260"/>
      <c r="S4" s="131"/>
      <c r="W4" s="133"/>
    </row>
    <row r="5" spans="1:23" s="136" customFormat="1" ht="120">
      <c r="A5" s="819"/>
      <c r="B5" s="20" t="s">
        <v>119</v>
      </c>
      <c r="C5" s="20" t="s">
        <v>120</v>
      </c>
      <c r="D5" s="19" t="s">
        <v>326</v>
      </c>
      <c r="E5" s="97" t="s">
        <v>327</v>
      </c>
      <c r="F5" s="283" t="s">
        <v>310</v>
      </c>
      <c r="G5" s="115" t="s">
        <v>322</v>
      </c>
      <c r="H5" s="115" t="s">
        <v>141</v>
      </c>
      <c r="I5" s="115" t="s">
        <v>323</v>
      </c>
      <c r="J5" s="115" t="s">
        <v>62</v>
      </c>
      <c r="K5" s="4" t="s">
        <v>63</v>
      </c>
      <c r="L5" s="19" t="s">
        <v>321</v>
      </c>
      <c r="M5" s="19" t="s">
        <v>138</v>
      </c>
      <c r="N5" s="19" t="s">
        <v>328</v>
      </c>
      <c r="O5" s="261" t="s">
        <v>139</v>
      </c>
      <c r="P5" s="261" t="s">
        <v>64</v>
      </c>
      <c r="Q5" s="261" t="s">
        <v>140</v>
      </c>
      <c r="R5" s="261" t="s">
        <v>267</v>
      </c>
      <c r="S5" s="134" t="s">
        <v>303</v>
      </c>
      <c r="T5" s="135"/>
      <c r="W5" s="137"/>
    </row>
    <row r="6" spans="1:23" s="136" customFormat="1" ht="15.75">
      <c r="A6" s="138">
        <v>1</v>
      </c>
      <c r="B6" s="139">
        <v>2</v>
      </c>
      <c r="C6" s="139">
        <v>3</v>
      </c>
      <c r="D6" s="98">
        <v>4</v>
      </c>
      <c r="E6" s="98">
        <v>5</v>
      </c>
      <c r="F6" s="284">
        <v>6</v>
      </c>
      <c r="G6" s="215">
        <v>8</v>
      </c>
      <c r="H6" s="215">
        <v>8</v>
      </c>
      <c r="I6" s="215">
        <v>9</v>
      </c>
      <c r="J6" s="238">
        <v>9</v>
      </c>
      <c r="K6" s="5">
        <v>7</v>
      </c>
      <c r="L6" s="5">
        <v>8</v>
      </c>
      <c r="M6" s="99">
        <v>9</v>
      </c>
      <c r="N6" s="99">
        <v>10</v>
      </c>
      <c r="O6" s="215">
        <v>13</v>
      </c>
      <c r="P6" s="262">
        <v>14</v>
      </c>
      <c r="Q6" s="262">
        <v>15</v>
      </c>
      <c r="R6" s="262">
        <v>16</v>
      </c>
      <c r="S6" s="285" t="s">
        <v>305</v>
      </c>
      <c r="T6" s="141">
        <f>12/12</f>
        <v>1</v>
      </c>
      <c r="W6" s="137"/>
    </row>
    <row r="7" spans="1:20" ht="19.5">
      <c r="A7" s="816" t="s">
        <v>65</v>
      </c>
      <c r="B7" s="817"/>
      <c r="C7" s="817"/>
      <c r="D7" s="817"/>
      <c r="E7" s="817"/>
      <c r="F7" s="817"/>
      <c r="G7" s="817"/>
      <c r="H7" s="817"/>
      <c r="I7" s="817"/>
      <c r="J7" s="817"/>
      <c r="K7" s="817"/>
      <c r="L7" s="817"/>
      <c r="M7" s="817"/>
      <c r="N7" s="795"/>
      <c r="O7" s="299"/>
      <c r="P7" s="299"/>
      <c r="Q7" s="299"/>
      <c r="R7" s="300"/>
      <c r="S7" s="285" t="s">
        <v>306</v>
      </c>
      <c r="T7" s="141">
        <f>11/12</f>
        <v>0.9166666666666666</v>
      </c>
    </row>
    <row r="8" spans="1:23" s="143" customFormat="1" ht="18.75">
      <c r="A8" s="46" t="s">
        <v>66</v>
      </c>
      <c r="B8" s="47">
        <v>10000000</v>
      </c>
      <c r="C8" s="6">
        <f>C9+C14+C23+C26+C19</f>
        <v>1240039.3000000003</v>
      </c>
      <c r="D8" s="6">
        <f>K8-C8</f>
        <v>308536.39999999944</v>
      </c>
      <c r="E8" s="6">
        <f aca="true" t="shared" si="0" ref="E8:E69">K8/C8*100</f>
        <v>124.8811791690795</v>
      </c>
      <c r="F8" s="6">
        <f aca="true" t="shared" si="1" ref="F8:L8">F9+F14+F23+F26+F19</f>
        <v>1280317.7</v>
      </c>
      <c r="G8" s="203">
        <f t="shared" si="1"/>
        <v>1280317.7</v>
      </c>
      <c r="H8" s="203">
        <f t="shared" si="1"/>
        <v>1280317.7</v>
      </c>
      <c r="I8" s="203">
        <f t="shared" si="1"/>
        <v>734584</v>
      </c>
      <c r="J8" s="203">
        <f t="shared" si="1"/>
        <v>659055</v>
      </c>
      <c r="K8" s="6">
        <f t="shared" si="1"/>
        <v>1548575.6999999997</v>
      </c>
      <c r="L8" s="6" t="e">
        <f t="shared" si="1"/>
        <v>#REF!</v>
      </c>
      <c r="M8" s="6">
        <f aca="true" t="shared" si="2" ref="M8:M47">K8/F8*100</f>
        <v>120.95245578499771</v>
      </c>
      <c r="N8" s="6">
        <f>K8-F8</f>
        <v>268257.99999999977</v>
      </c>
      <c r="O8" s="203">
        <f aca="true" t="shared" si="3" ref="O8:O15">K8/H8*100</f>
        <v>120.95245578499771</v>
      </c>
      <c r="P8" s="203">
        <f aca="true" t="shared" si="4" ref="P8:P15">K8/J8*100</f>
        <v>234.96911486901695</v>
      </c>
      <c r="Q8" s="203">
        <f aca="true" t="shared" si="5" ref="Q8:Q71">K8-H8</f>
        <v>268257.99999999977</v>
      </c>
      <c r="R8" s="203">
        <f aca="true" t="shared" si="6" ref="R8:R71">K8-J8</f>
        <v>889520.6999999997</v>
      </c>
      <c r="S8" s="285" t="s">
        <v>315</v>
      </c>
      <c r="T8" s="141">
        <f>20/240</f>
        <v>0.08333333333333333</v>
      </c>
      <c r="U8" s="89">
        <f aca="true" t="shared" si="7" ref="U8:U19">K8/F8*100-M8</f>
        <v>0</v>
      </c>
      <c r="V8" s="89">
        <f aca="true" t="shared" si="8" ref="V8:V19">K8/H8*100-O8</f>
        <v>0</v>
      </c>
      <c r="W8" s="90">
        <f>K8/J8*100-P8</f>
        <v>0</v>
      </c>
    </row>
    <row r="9" spans="1:24" s="143" customFormat="1" ht="31.5">
      <c r="A9" s="46" t="s">
        <v>67</v>
      </c>
      <c r="B9" s="47">
        <v>11000000</v>
      </c>
      <c r="C9" s="6">
        <f>C10+C12</f>
        <v>844790</v>
      </c>
      <c r="D9" s="6">
        <f>K9-C9</f>
        <v>198598.59999999998</v>
      </c>
      <c r="E9" s="6">
        <f t="shared" si="0"/>
        <v>123.50863528214111</v>
      </c>
      <c r="F9" s="6">
        <f aca="true" t="shared" si="9" ref="F9:L9">F10+F12</f>
        <v>825900.1</v>
      </c>
      <c r="G9" s="203">
        <f t="shared" si="9"/>
        <v>825900.1</v>
      </c>
      <c r="H9" s="203">
        <f t="shared" si="9"/>
        <v>825900.1</v>
      </c>
      <c r="I9" s="203">
        <f t="shared" si="9"/>
        <v>493965.80000000005</v>
      </c>
      <c r="J9" s="203">
        <f>J10+J12</f>
        <v>438269.7</v>
      </c>
      <c r="K9" s="6">
        <f t="shared" si="9"/>
        <v>1043388.6</v>
      </c>
      <c r="L9" s="6" t="e">
        <f t="shared" si="9"/>
        <v>#REF!</v>
      </c>
      <c r="M9" s="6">
        <f t="shared" si="2"/>
        <v>126.3335117649217</v>
      </c>
      <c r="N9" s="6">
        <f aca="true" t="shared" si="10" ref="N9:N72">K9-F9</f>
        <v>217488.5</v>
      </c>
      <c r="O9" s="203">
        <f t="shared" si="3"/>
        <v>126.3335117649217</v>
      </c>
      <c r="P9" s="203">
        <f t="shared" si="4"/>
        <v>238.06998293516526</v>
      </c>
      <c r="Q9" s="203">
        <f t="shared" si="5"/>
        <v>217488.5</v>
      </c>
      <c r="R9" s="203">
        <f t="shared" si="6"/>
        <v>605118.8999999999</v>
      </c>
      <c r="S9" s="88">
        <f>K9-H9-Q9</f>
        <v>0</v>
      </c>
      <c r="T9" s="240">
        <f>F9*6/12+F9*18/(21*12)</f>
        <v>471942.9142857143</v>
      </c>
      <c r="U9" s="89">
        <f t="shared" si="7"/>
        <v>0</v>
      </c>
      <c r="V9" s="89">
        <f t="shared" si="8"/>
        <v>0</v>
      </c>
      <c r="W9" s="248">
        <f aca="true" t="shared" si="11" ref="W9:W72">G9-H9</f>
        <v>0</v>
      </c>
      <c r="X9" s="89">
        <f aca="true" t="shared" si="12" ref="X9:X72">I9-J9</f>
        <v>55696.100000000035</v>
      </c>
    </row>
    <row r="10" spans="1:24" s="91" customFormat="1" ht="20.25">
      <c r="A10" s="29" t="s">
        <v>153</v>
      </c>
      <c r="B10" s="27">
        <v>11010000</v>
      </c>
      <c r="C10" s="3">
        <v>844399</v>
      </c>
      <c r="D10" s="25">
        <f>K10-C10</f>
        <v>198763.19999999995</v>
      </c>
      <c r="E10" s="25">
        <f t="shared" si="0"/>
        <v>123.53901413905038</v>
      </c>
      <c r="F10" s="3">
        <f>800526.2+24809.8</f>
        <v>825336</v>
      </c>
      <c r="G10" s="216">
        <f>ROUND(F10*$T$6,1)</f>
        <v>825336</v>
      </c>
      <c r="H10" s="219">
        <f>ROUND((F10*$T$7+F10*$T$8),1)</f>
        <v>825336</v>
      </c>
      <c r="I10" s="216">
        <v>493689.9</v>
      </c>
      <c r="J10" s="216">
        <v>437993.8</v>
      </c>
      <c r="K10" s="3">
        <v>1043162.2</v>
      </c>
      <c r="L10" s="3" t="e">
        <f>K10-#REF!</f>
        <v>#REF!</v>
      </c>
      <c r="M10" s="25">
        <f t="shared" si="2"/>
        <v>126.39242684191649</v>
      </c>
      <c r="N10" s="25">
        <f t="shared" si="10"/>
        <v>217826.19999999995</v>
      </c>
      <c r="O10" s="263">
        <f t="shared" si="3"/>
        <v>126.39242684191649</v>
      </c>
      <c r="P10" s="263">
        <f t="shared" si="4"/>
        <v>238.16825717624312</v>
      </c>
      <c r="Q10" s="263">
        <f t="shared" si="5"/>
        <v>217826.19999999995</v>
      </c>
      <c r="R10" s="263">
        <f t="shared" si="6"/>
        <v>605168.3999999999</v>
      </c>
      <c r="S10" s="88">
        <f aca="true" t="shared" si="13" ref="S10:S19">K10/$K$66*100</f>
        <v>64.57885901760805</v>
      </c>
      <c r="T10" s="240">
        <f>F10*6/12+F10*18/(21*12)</f>
        <v>471620.5714285714</v>
      </c>
      <c r="U10" s="89">
        <f t="shared" si="7"/>
        <v>0</v>
      </c>
      <c r="V10" s="89">
        <f t="shared" si="8"/>
        <v>0</v>
      </c>
      <c r="W10" s="248">
        <f t="shared" si="11"/>
        <v>0</v>
      </c>
      <c r="X10" s="89">
        <f t="shared" si="12"/>
        <v>55696.100000000035</v>
      </c>
    </row>
    <row r="11" spans="1:24" s="92" customFormat="1" ht="30" hidden="1">
      <c r="A11" s="59" t="s">
        <v>68</v>
      </c>
      <c r="B11" s="33">
        <v>11010600</v>
      </c>
      <c r="C11" s="8"/>
      <c r="D11" s="25">
        <f>K11-C11</f>
        <v>0</v>
      </c>
      <c r="E11" s="14" t="e">
        <f t="shared" si="0"/>
        <v>#DIV/0!</v>
      </c>
      <c r="F11" s="8"/>
      <c r="G11" s="217"/>
      <c r="H11" s="217">
        <f>F11/12*8+F11/12*22/22</f>
        <v>0</v>
      </c>
      <c r="I11" s="217"/>
      <c r="J11" s="217"/>
      <c r="K11" s="8"/>
      <c r="L11" s="3" t="e">
        <f>K11-#REF!</f>
        <v>#REF!</v>
      </c>
      <c r="M11" s="34" t="e">
        <f t="shared" si="2"/>
        <v>#DIV/0!</v>
      </c>
      <c r="N11" s="25">
        <f t="shared" si="10"/>
        <v>0</v>
      </c>
      <c r="O11" s="264" t="e">
        <f t="shared" si="3"/>
        <v>#DIV/0!</v>
      </c>
      <c r="P11" s="265" t="e">
        <f t="shared" si="4"/>
        <v>#DIV/0!</v>
      </c>
      <c r="Q11" s="263">
        <f t="shared" si="5"/>
        <v>0</v>
      </c>
      <c r="R11" s="263">
        <f t="shared" si="6"/>
        <v>0</v>
      </c>
      <c r="S11" s="88">
        <f t="shared" si="13"/>
        <v>0</v>
      </c>
      <c r="T11" s="240">
        <f>F11*6/12+F11*18/(21*12)</f>
        <v>0</v>
      </c>
      <c r="U11" s="89" t="e">
        <f t="shared" si="7"/>
        <v>#DIV/0!</v>
      </c>
      <c r="V11" s="89" t="e">
        <f t="shared" si="8"/>
        <v>#DIV/0!</v>
      </c>
      <c r="W11" s="248">
        <f t="shared" si="11"/>
        <v>0</v>
      </c>
      <c r="X11" s="89">
        <f t="shared" si="12"/>
        <v>0</v>
      </c>
    </row>
    <row r="12" spans="1:24" s="92" customFormat="1" ht="20.25">
      <c r="A12" s="26" t="s">
        <v>293</v>
      </c>
      <c r="B12" s="27">
        <v>11020000</v>
      </c>
      <c r="C12" s="3">
        <f>C13</f>
        <v>391</v>
      </c>
      <c r="D12" s="25">
        <f>D13</f>
        <v>-164.6</v>
      </c>
      <c r="E12" s="25">
        <f t="shared" si="0"/>
        <v>57.90281329923273</v>
      </c>
      <c r="F12" s="3">
        <f aca="true" t="shared" si="14" ref="F12:L12">F13</f>
        <v>564.1</v>
      </c>
      <c r="G12" s="216">
        <f t="shared" si="14"/>
        <v>564.1</v>
      </c>
      <c r="H12" s="216">
        <f t="shared" si="14"/>
        <v>564.1</v>
      </c>
      <c r="I12" s="216">
        <f t="shared" si="14"/>
        <v>275.9</v>
      </c>
      <c r="J12" s="216">
        <f t="shared" si="14"/>
        <v>275.9</v>
      </c>
      <c r="K12" s="3">
        <f t="shared" si="14"/>
        <v>226.4</v>
      </c>
      <c r="L12" s="3" t="e">
        <f t="shared" si="14"/>
        <v>#REF!</v>
      </c>
      <c r="M12" s="3">
        <f t="shared" si="2"/>
        <v>40.13472788512675</v>
      </c>
      <c r="N12" s="25">
        <f t="shared" si="10"/>
        <v>-337.70000000000005</v>
      </c>
      <c r="O12" s="263">
        <f t="shared" si="3"/>
        <v>40.13472788512675</v>
      </c>
      <c r="P12" s="216">
        <f t="shared" si="4"/>
        <v>82.05871692642262</v>
      </c>
      <c r="Q12" s="263">
        <f t="shared" si="5"/>
        <v>-337.70000000000005</v>
      </c>
      <c r="R12" s="263">
        <f t="shared" si="6"/>
        <v>-49.49999999999997</v>
      </c>
      <c r="S12" s="88">
        <f t="shared" si="13"/>
        <v>0.01401570501843957</v>
      </c>
      <c r="T12" s="240">
        <f>F12*6/12+F12*18/(21*12)</f>
        <v>322.34285714285716</v>
      </c>
      <c r="U12" s="89">
        <f t="shared" si="7"/>
        <v>0</v>
      </c>
      <c r="V12" s="89">
        <f t="shared" si="8"/>
        <v>0</v>
      </c>
      <c r="W12" s="248">
        <f t="shared" si="11"/>
        <v>0</v>
      </c>
      <c r="X12" s="89">
        <f t="shared" si="12"/>
        <v>0</v>
      </c>
    </row>
    <row r="13" spans="1:24" s="145" customFormat="1" ht="30">
      <c r="A13" s="144" t="s">
        <v>69</v>
      </c>
      <c r="B13" s="33">
        <v>11020201</v>
      </c>
      <c r="C13" s="8">
        <v>391</v>
      </c>
      <c r="D13" s="25">
        <f aca="true" t="shared" si="15" ref="D13:D78">K13-C13</f>
        <v>-164.6</v>
      </c>
      <c r="E13" s="25">
        <f t="shared" si="0"/>
        <v>57.90281329923273</v>
      </c>
      <c r="F13" s="8">
        <v>564.1</v>
      </c>
      <c r="G13" s="216">
        <f>ROUND(F13*$T$6,1)</f>
        <v>564.1</v>
      </c>
      <c r="H13" s="216">
        <f>ROUND((F13*$T$7+F13*$T$8),1)</f>
        <v>564.1</v>
      </c>
      <c r="I13" s="217">
        <v>275.9</v>
      </c>
      <c r="J13" s="217">
        <v>275.9</v>
      </c>
      <c r="K13" s="8">
        <v>226.4</v>
      </c>
      <c r="L13" s="3" t="e">
        <f>K13-#REF!</f>
        <v>#REF!</v>
      </c>
      <c r="M13" s="36">
        <f t="shared" si="2"/>
        <v>40.13472788512675</v>
      </c>
      <c r="N13" s="25">
        <f t="shared" si="10"/>
        <v>-337.70000000000005</v>
      </c>
      <c r="O13" s="263">
        <f t="shared" si="3"/>
        <v>40.13472788512675</v>
      </c>
      <c r="P13" s="266">
        <f t="shared" si="4"/>
        <v>82.05871692642262</v>
      </c>
      <c r="Q13" s="263">
        <f t="shared" si="5"/>
        <v>-337.70000000000005</v>
      </c>
      <c r="R13" s="263">
        <f t="shared" si="6"/>
        <v>-49.49999999999997</v>
      </c>
      <c r="S13" s="88">
        <f t="shared" si="13"/>
        <v>0.01401570501843957</v>
      </c>
      <c r="T13" s="240">
        <f>F13*6/12+F13*18/(21*12)</f>
        <v>322.34285714285716</v>
      </c>
      <c r="U13" s="89">
        <f t="shared" si="7"/>
        <v>0</v>
      </c>
      <c r="V13" s="89">
        <f t="shared" si="8"/>
        <v>0</v>
      </c>
      <c r="W13" s="248">
        <f t="shared" si="11"/>
        <v>0</v>
      </c>
      <c r="X13" s="89">
        <f t="shared" si="12"/>
        <v>0</v>
      </c>
    </row>
    <row r="14" spans="1:24" s="307" customFormat="1" ht="24.75" customHeight="1">
      <c r="A14" s="303" t="s">
        <v>123</v>
      </c>
      <c r="B14" s="43">
        <v>13000000</v>
      </c>
      <c r="C14" s="10">
        <f>C15+C18</f>
        <v>125.5</v>
      </c>
      <c r="D14" s="62">
        <f t="shared" si="15"/>
        <v>63.099999999999994</v>
      </c>
      <c r="E14" s="62">
        <f>K14/C14*100</f>
        <v>150.27888446215138</v>
      </c>
      <c r="F14" s="10">
        <f>F15+F18</f>
        <v>199.7</v>
      </c>
      <c r="G14" s="209">
        <f>G15+G18</f>
        <v>199.7</v>
      </c>
      <c r="H14" s="209">
        <f>H15+H18</f>
        <v>199.7</v>
      </c>
      <c r="I14" s="209">
        <f>I15+I18</f>
        <v>19.6</v>
      </c>
      <c r="J14" s="209">
        <f>J15+J18</f>
        <v>19.6</v>
      </c>
      <c r="K14" s="10">
        <f>K15+K18+K16</f>
        <v>188.6</v>
      </c>
      <c r="L14" s="10" t="e">
        <f>L15+L18+L16</f>
        <v>#REF!</v>
      </c>
      <c r="M14" s="10">
        <f t="shared" si="2"/>
        <v>94.44166249374061</v>
      </c>
      <c r="N14" s="62">
        <f t="shared" si="10"/>
        <v>-11.099999999999994</v>
      </c>
      <c r="O14" s="210">
        <f t="shared" si="3"/>
        <v>94.44166249374061</v>
      </c>
      <c r="P14" s="209">
        <f t="shared" si="4"/>
        <v>962.2448979591835</v>
      </c>
      <c r="Q14" s="210">
        <f t="shared" si="5"/>
        <v>-11.099999999999994</v>
      </c>
      <c r="R14" s="210">
        <f t="shared" si="6"/>
        <v>169</v>
      </c>
      <c r="S14" s="304">
        <f t="shared" si="13"/>
        <v>0.011675627060413881</v>
      </c>
      <c r="T14" s="305">
        <f aca="true" t="shared" si="16" ref="T14:T19">K14-J14-R14</f>
        <v>0</v>
      </c>
      <c r="U14" s="305">
        <f t="shared" si="7"/>
        <v>0</v>
      </c>
      <c r="V14" s="305">
        <f t="shared" si="8"/>
        <v>0</v>
      </c>
      <c r="W14" s="306">
        <f t="shared" si="11"/>
        <v>0</v>
      </c>
      <c r="X14" s="305">
        <f t="shared" si="12"/>
        <v>0</v>
      </c>
    </row>
    <row r="15" spans="1:24" s="148" customFormat="1" ht="45">
      <c r="A15" s="56" t="s">
        <v>124</v>
      </c>
      <c r="B15" s="30">
        <v>13010200</v>
      </c>
      <c r="C15" s="3">
        <v>92.7</v>
      </c>
      <c r="D15" s="25">
        <f t="shared" si="15"/>
        <v>71.7</v>
      </c>
      <c r="E15" s="25">
        <f t="shared" si="0"/>
        <v>177.3462783171521</v>
      </c>
      <c r="F15" s="3">
        <v>98.6</v>
      </c>
      <c r="G15" s="216">
        <f>ROUND(F15*$T$6,1)</f>
        <v>98.6</v>
      </c>
      <c r="H15" s="219">
        <f>ROUND((F15*$T$7+F15*$T$8),1)</f>
        <v>98.6</v>
      </c>
      <c r="I15" s="216">
        <v>14</v>
      </c>
      <c r="J15" s="216">
        <v>14</v>
      </c>
      <c r="K15" s="3">
        <v>164.4</v>
      </c>
      <c r="L15" s="3" t="e">
        <f>K15-#REF!</f>
        <v>#REF!</v>
      </c>
      <c r="M15" s="3">
        <f t="shared" si="2"/>
        <v>166.7342799188641</v>
      </c>
      <c r="N15" s="3">
        <f t="shared" si="10"/>
        <v>65.80000000000001</v>
      </c>
      <c r="O15" s="216">
        <f t="shared" si="3"/>
        <v>166.7342799188641</v>
      </c>
      <c r="P15" s="216">
        <f t="shared" si="4"/>
        <v>1174.2857142857144</v>
      </c>
      <c r="Q15" s="263">
        <f t="shared" si="5"/>
        <v>65.80000000000001</v>
      </c>
      <c r="R15" s="263">
        <f t="shared" si="6"/>
        <v>150.4</v>
      </c>
      <c r="S15" s="88">
        <f t="shared" si="13"/>
        <v>0.010177481912683152</v>
      </c>
      <c r="T15" s="89">
        <f t="shared" si="16"/>
        <v>0</v>
      </c>
      <c r="U15" s="89">
        <f t="shared" si="7"/>
        <v>0</v>
      </c>
      <c r="V15" s="89">
        <f t="shared" si="8"/>
        <v>0</v>
      </c>
      <c r="W15" s="248">
        <f t="shared" si="11"/>
        <v>0</v>
      </c>
      <c r="X15" s="89">
        <f t="shared" si="12"/>
        <v>0</v>
      </c>
    </row>
    <row r="16" spans="1:24" s="147" customFormat="1" ht="30" hidden="1">
      <c r="A16" s="56" t="s">
        <v>145</v>
      </c>
      <c r="B16" s="30">
        <v>13020400</v>
      </c>
      <c r="C16" s="3"/>
      <c r="D16" s="25">
        <f t="shared" si="15"/>
        <v>0</v>
      </c>
      <c r="E16" s="110" t="e">
        <f t="shared" si="0"/>
        <v>#DIV/0!</v>
      </c>
      <c r="F16" s="9"/>
      <c r="G16" s="205"/>
      <c r="H16" s="205"/>
      <c r="I16" s="205"/>
      <c r="J16" s="205"/>
      <c r="K16" s="3"/>
      <c r="L16" s="3" t="e">
        <f>K16-#REF!</f>
        <v>#REF!</v>
      </c>
      <c r="M16" s="3"/>
      <c r="N16" s="3">
        <f t="shared" si="10"/>
        <v>0</v>
      </c>
      <c r="O16" s="216"/>
      <c r="P16" s="216"/>
      <c r="Q16" s="263">
        <f t="shared" si="5"/>
        <v>0</v>
      </c>
      <c r="R16" s="263">
        <f t="shared" si="6"/>
        <v>0</v>
      </c>
      <c r="S16" s="88">
        <f t="shared" si="13"/>
        <v>0</v>
      </c>
      <c r="T16" s="89">
        <f t="shared" si="16"/>
        <v>0</v>
      </c>
      <c r="U16" s="89" t="e">
        <f t="shared" si="7"/>
        <v>#DIV/0!</v>
      </c>
      <c r="V16" s="89" t="e">
        <f t="shared" si="8"/>
        <v>#DIV/0!</v>
      </c>
      <c r="W16" s="248">
        <f t="shared" si="11"/>
        <v>0</v>
      </c>
      <c r="X16" s="89">
        <f t="shared" si="12"/>
        <v>0</v>
      </c>
    </row>
    <row r="17" spans="1:24" s="91" customFormat="1" ht="20.25">
      <c r="A17" s="58" t="s">
        <v>125</v>
      </c>
      <c r="B17" s="27">
        <v>13030000</v>
      </c>
      <c r="C17" s="3">
        <f>C18</f>
        <v>32.8</v>
      </c>
      <c r="D17" s="25">
        <f t="shared" si="15"/>
        <v>-8.599999999999998</v>
      </c>
      <c r="E17" s="25">
        <f t="shared" si="0"/>
        <v>73.78048780487805</v>
      </c>
      <c r="F17" s="3">
        <f aca="true" t="shared" si="17" ref="F17:L17">F18</f>
        <v>101.1</v>
      </c>
      <c r="G17" s="216">
        <f t="shared" si="17"/>
        <v>101.1</v>
      </c>
      <c r="H17" s="216">
        <f t="shared" si="17"/>
        <v>101.1</v>
      </c>
      <c r="I17" s="216">
        <f t="shared" si="17"/>
        <v>5.6</v>
      </c>
      <c r="J17" s="216">
        <f t="shared" si="17"/>
        <v>5.6</v>
      </c>
      <c r="K17" s="3">
        <f t="shared" si="17"/>
        <v>24.2</v>
      </c>
      <c r="L17" s="3" t="e">
        <f t="shared" si="17"/>
        <v>#REF!</v>
      </c>
      <c r="M17" s="25">
        <f t="shared" si="2"/>
        <v>23.93669634025717</v>
      </c>
      <c r="N17" s="25">
        <f t="shared" si="10"/>
        <v>-76.89999999999999</v>
      </c>
      <c r="O17" s="263">
        <f aca="true" t="shared" si="18" ref="O17:O80">K17/H17*100</f>
        <v>23.93669634025717</v>
      </c>
      <c r="P17" s="263">
        <f aca="true" t="shared" si="19" ref="P17:P80">K17/J17*100</f>
        <v>432.1428571428571</v>
      </c>
      <c r="Q17" s="263">
        <f t="shared" si="5"/>
        <v>-76.89999999999999</v>
      </c>
      <c r="R17" s="263">
        <f t="shared" si="6"/>
        <v>18.6</v>
      </c>
      <c r="S17" s="88">
        <f t="shared" si="13"/>
        <v>0.0014981451477307315</v>
      </c>
      <c r="T17" s="89">
        <f t="shared" si="16"/>
        <v>0</v>
      </c>
      <c r="U17" s="89">
        <f t="shared" si="7"/>
        <v>0</v>
      </c>
      <c r="V17" s="89">
        <f t="shared" si="8"/>
        <v>0</v>
      </c>
      <c r="W17" s="248">
        <f t="shared" si="11"/>
        <v>0</v>
      </c>
      <c r="X17" s="89">
        <f t="shared" si="12"/>
        <v>0</v>
      </c>
    </row>
    <row r="18" spans="1:24" s="145" customFormat="1" ht="30">
      <c r="A18" s="144" t="s">
        <v>126</v>
      </c>
      <c r="B18" s="33">
        <v>13030200</v>
      </c>
      <c r="C18" s="8">
        <v>32.8</v>
      </c>
      <c r="D18" s="36">
        <f t="shared" si="15"/>
        <v>-8.599999999999998</v>
      </c>
      <c r="E18" s="36">
        <f t="shared" si="0"/>
        <v>73.78048780487805</v>
      </c>
      <c r="F18" s="8">
        <v>101.1</v>
      </c>
      <c r="G18" s="216">
        <f>ROUND(F18*$T$6,1)</f>
        <v>101.1</v>
      </c>
      <c r="H18" s="219">
        <f>ROUND((F18*$T$7+F18*$T$8),1)</f>
        <v>101.1</v>
      </c>
      <c r="I18" s="217">
        <v>5.6</v>
      </c>
      <c r="J18" s="217">
        <v>5.6</v>
      </c>
      <c r="K18" s="8">
        <v>24.2</v>
      </c>
      <c r="L18" s="3" t="e">
        <f>K18-#REF!</f>
        <v>#REF!</v>
      </c>
      <c r="M18" s="36">
        <f t="shared" si="2"/>
        <v>23.93669634025717</v>
      </c>
      <c r="N18" s="36">
        <f t="shared" si="10"/>
        <v>-76.89999999999999</v>
      </c>
      <c r="O18" s="266">
        <f t="shared" si="18"/>
        <v>23.93669634025717</v>
      </c>
      <c r="P18" s="266">
        <f t="shared" si="19"/>
        <v>432.1428571428571</v>
      </c>
      <c r="Q18" s="266">
        <f t="shared" si="5"/>
        <v>-76.89999999999999</v>
      </c>
      <c r="R18" s="266">
        <f t="shared" si="6"/>
        <v>18.6</v>
      </c>
      <c r="S18" s="88">
        <f t="shared" si="13"/>
        <v>0.0014981451477307315</v>
      </c>
      <c r="T18" s="89">
        <f t="shared" si="16"/>
        <v>0</v>
      </c>
      <c r="U18" s="89">
        <f t="shared" si="7"/>
        <v>0</v>
      </c>
      <c r="V18" s="89">
        <f t="shared" si="8"/>
        <v>0</v>
      </c>
      <c r="W18" s="248">
        <f t="shared" si="11"/>
        <v>0</v>
      </c>
      <c r="X18" s="89">
        <f t="shared" si="12"/>
        <v>0</v>
      </c>
    </row>
    <row r="19" spans="1:24" s="150" customFormat="1" ht="20.25">
      <c r="A19" s="149" t="s">
        <v>130</v>
      </c>
      <c r="B19" s="55">
        <v>14000000</v>
      </c>
      <c r="C19" s="9">
        <f>C22+C20+C21</f>
        <v>71763.6</v>
      </c>
      <c r="D19" s="6">
        <f t="shared" si="15"/>
        <v>66078.29999999999</v>
      </c>
      <c r="E19" s="6">
        <f t="shared" si="0"/>
        <v>192.07773857498785</v>
      </c>
      <c r="F19" s="9">
        <f aca="true" t="shared" si="20" ref="F19:L19">F22+F20+F21</f>
        <v>136672.3</v>
      </c>
      <c r="G19" s="205">
        <f t="shared" si="20"/>
        <v>136672.3</v>
      </c>
      <c r="H19" s="205">
        <f t="shared" si="20"/>
        <v>136672.3</v>
      </c>
      <c r="I19" s="205">
        <f t="shared" si="20"/>
        <v>66536.1</v>
      </c>
      <c r="J19" s="205">
        <f t="shared" si="20"/>
        <v>58844.6</v>
      </c>
      <c r="K19" s="9">
        <f t="shared" si="20"/>
        <v>137841.9</v>
      </c>
      <c r="L19" s="9" t="e">
        <f t="shared" si="20"/>
        <v>#REF!</v>
      </c>
      <c r="M19" s="6">
        <f t="shared" si="2"/>
        <v>100.85576960364318</v>
      </c>
      <c r="N19" s="6">
        <f t="shared" si="10"/>
        <v>1169.6000000000058</v>
      </c>
      <c r="O19" s="203">
        <f t="shared" si="18"/>
        <v>100.85576960364318</v>
      </c>
      <c r="P19" s="203">
        <f t="shared" si="19"/>
        <v>234.24732260904145</v>
      </c>
      <c r="Q19" s="203">
        <f t="shared" si="5"/>
        <v>1169.6000000000058</v>
      </c>
      <c r="R19" s="203">
        <f t="shared" si="6"/>
        <v>78997.29999999999</v>
      </c>
      <c r="S19" s="88">
        <f t="shared" si="13"/>
        <v>8.533354282602673</v>
      </c>
      <c r="T19" s="89">
        <f t="shared" si="16"/>
        <v>0</v>
      </c>
      <c r="U19" s="89">
        <f t="shared" si="7"/>
        <v>0</v>
      </c>
      <c r="V19" s="89">
        <f t="shared" si="8"/>
        <v>0</v>
      </c>
      <c r="W19" s="248">
        <f t="shared" si="11"/>
        <v>0</v>
      </c>
      <c r="X19" s="89">
        <f t="shared" si="12"/>
        <v>7691.500000000007</v>
      </c>
    </row>
    <row r="20" spans="1:24" s="152" customFormat="1" ht="20.25">
      <c r="A20" s="26" t="s">
        <v>288</v>
      </c>
      <c r="B20" s="30">
        <v>14021900</v>
      </c>
      <c r="C20" s="3"/>
      <c r="D20" s="25">
        <f>K20-C20</f>
        <v>12344.4</v>
      </c>
      <c r="E20" s="14" t="e">
        <f>K20/C20*100</f>
        <v>#DIV/0!</v>
      </c>
      <c r="F20" s="3">
        <v>27936.2</v>
      </c>
      <c r="G20" s="216">
        <f>ROUND(F20*$T$6,1)</f>
        <v>27936.2</v>
      </c>
      <c r="H20" s="219">
        <f>ROUND((F20*$T$7+F20*$T$8),1)-0.1</f>
        <v>27936.100000000002</v>
      </c>
      <c r="I20" s="216">
        <v>5392.7</v>
      </c>
      <c r="J20" s="216">
        <v>4985.6</v>
      </c>
      <c r="K20" s="3">
        <v>12344.4</v>
      </c>
      <c r="L20" s="3" t="e">
        <f>K20-#REF!</f>
        <v>#REF!</v>
      </c>
      <c r="M20" s="25">
        <f t="shared" si="2"/>
        <v>44.1878279794675</v>
      </c>
      <c r="N20" s="25">
        <f t="shared" si="10"/>
        <v>-15591.800000000001</v>
      </c>
      <c r="O20" s="263">
        <f t="shared" si="18"/>
        <v>44.187986154116</v>
      </c>
      <c r="P20" s="263">
        <f t="shared" si="19"/>
        <v>247.60109114249036</v>
      </c>
      <c r="Q20" s="263">
        <f t="shared" si="5"/>
        <v>-15591.700000000003</v>
      </c>
      <c r="R20" s="263">
        <f t="shared" si="6"/>
        <v>7358.799999999999</v>
      </c>
      <c r="S20" s="151"/>
      <c r="T20" s="18"/>
      <c r="U20" s="18"/>
      <c r="V20" s="18"/>
      <c r="W20" s="248">
        <f t="shared" si="11"/>
        <v>0.09999999999854481</v>
      </c>
      <c r="X20" s="89">
        <f t="shared" si="12"/>
        <v>407.09999999999945</v>
      </c>
    </row>
    <row r="21" spans="1:24" s="152" customFormat="1" ht="20.25">
      <c r="A21" s="26" t="s">
        <v>289</v>
      </c>
      <c r="B21" s="30">
        <v>14031900</v>
      </c>
      <c r="C21" s="3"/>
      <c r="D21" s="25">
        <f>K21-C21</f>
        <v>50762.5</v>
      </c>
      <c r="E21" s="14" t="e">
        <f>K21/C21*100</f>
        <v>#DIV/0!</v>
      </c>
      <c r="F21" s="3">
        <f>27936.2+7295.2</f>
        <v>35231.4</v>
      </c>
      <c r="G21" s="216">
        <f>ROUND(F21*$T$6,1)</f>
        <v>35231.4</v>
      </c>
      <c r="H21" s="219">
        <f>ROUND((F21*$T$7+F21*$T$8),1)+0.1</f>
        <v>35231.5</v>
      </c>
      <c r="I21" s="216">
        <v>21269.100000000002</v>
      </c>
      <c r="J21" s="216">
        <v>19233.9</v>
      </c>
      <c r="K21" s="3">
        <v>50762.5</v>
      </c>
      <c r="L21" s="3" t="e">
        <f>K21-#REF!</f>
        <v>#REF!</v>
      </c>
      <c r="M21" s="25">
        <f t="shared" si="2"/>
        <v>144.08311903586005</v>
      </c>
      <c r="N21" s="25">
        <f t="shared" si="10"/>
        <v>15531.099999999999</v>
      </c>
      <c r="O21" s="263">
        <f t="shared" si="18"/>
        <v>144.08271007479104</v>
      </c>
      <c r="P21" s="263">
        <f t="shared" si="19"/>
        <v>263.9220334929473</v>
      </c>
      <c r="Q21" s="263">
        <f t="shared" si="5"/>
        <v>15531</v>
      </c>
      <c r="R21" s="263">
        <f t="shared" si="6"/>
        <v>31528.6</v>
      </c>
      <c r="S21" s="151"/>
      <c r="T21" s="18"/>
      <c r="U21" s="18"/>
      <c r="V21" s="18"/>
      <c r="W21" s="248">
        <f t="shared" si="11"/>
        <v>-0.09999999999854481</v>
      </c>
      <c r="X21" s="89">
        <f t="shared" si="12"/>
        <v>2035.2000000000007</v>
      </c>
    </row>
    <row r="22" spans="1:24" s="91" customFormat="1" ht="30">
      <c r="A22" s="58" t="s">
        <v>131</v>
      </c>
      <c r="B22" s="27">
        <v>14040000</v>
      </c>
      <c r="C22" s="3">
        <v>71763.6</v>
      </c>
      <c r="D22" s="25">
        <f t="shared" si="15"/>
        <v>2971.399999999994</v>
      </c>
      <c r="E22" s="25">
        <f t="shared" si="0"/>
        <v>104.14053921486659</v>
      </c>
      <c r="F22" s="3">
        <f>130800-50000-7295.3</f>
        <v>73504.7</v>
      </c>
      <c r="G22" s="216">
        <f>ROUND(F22*$T$6,1)</f>
        <v>73504.7</v>
      </c>
      <c r="H22" s="219">
        <f>ROUND((F22*$T$7+F22*$T$8),1)</f>
        <v>73504.7</v>
      </c>
      <c r="I22" s="216">
        <v>39874.3</v>
      </c>
      <c r="J22" s="216">
        <v>34625.1</v>
      </c>
      <c r="K22" s="3">
        <v>74735</v>
      </c>
      <c r="L22" s="3" t="e">
        <f>K22-#REF!</f>
        <v>#REF!</v>
      </c>
      <c r="M22" s="25">
        <f t="shared" si="2"/>
        <v>101.67377052079662</v>
      </c>
      <c r="N22" s="25">
        <f t="shared" si="10"/>
        <v>1230.300000000003</v>
      </c>
      <c r="O22" s="263">
        <f t="shared" si="18"/>
        <v>101.67377052079662</v>
      </c>
      <c r="P22" s="263">
        <f t="shared" si="19"/>
        <v>215.84053186850002</v>
      </c>
      <c r="Q22" s="263">
        <f t="shared" si="5"/>
        <v>1230.300000000003</v>
      </c>
      <c r="R22" s="263">
        <f t="shared" si="6"/>
        <v>40109.9</v>
      </c>
      <c r="S22" s="88">
        <f aca="true" t="shared" si="21" ref="S22:S66">K22/$K$66*100</f>
        <v>4.626606513043646</v>
      </c>
      <c r="T22" s="89">
        <f aca="true" t="shared" si="22" ref="T22:T37">K22-J22-R22</f>
        <v>0</v>
      </c>
      <c r="U22" s="89">
        <f aca="true" t="shared" si="23" ref="U22:U80">K22/F22*100-M22</f>
        <v>0</v>
      </c>
      <c r="V22" s="89">
        <f aca="true" t="shared" si="24" ref="V22:V80">K22/H22*100-O22</f>
        <v>0</v>
      </c>
      <c r="W22" s="248">
        <f t="shared" si="11"/>
        <v>0</v>
      </c>
      <c r="X22" s="89">
        <f t="shared" si="12"/>
        <v>5249.200000000004</v>
      </c>
    </row>
    <row r="23" spans="1:24" s="147" customFormat="1" ht="20.25" hidden="1">
      <c r="A23" s="153" t="s">
        <v>70</v>
      </c>
      <c r="B23" s="55">
        <v>16010000</v>
      </c>
      <c r="C23" s="3" t="s">
        <v>184</v>
      </c>
      <c r="D23" s="25">
        <f t="shared" si="15"/>
        <v>0</v>
      </c>
      <c r="E23" s="14" t="e">
        <f t="shared" si="0"/>
        <v>#DIV/0!</v>
      </c>
      <c r="F23" s="9"/>
      <c r="G23" s="205">
        <f>F23/12*3</f>
        <v>0</v>
      </c>
      <c r="H23" s="205">
        <f>F23*$T$7+F23*$T$8</f>
        <v>0</v>
      </c>
      <c r="I23" s="205"/>
      <c r="J23" s="205"/>
      <c r="K23" s="9"/>
      <c r="L23" s="3"/>
      <c r="M23" s="50" t="e">
        <f t="shared" si="2"/>
        <v>#DIV/0!</v>
      </c>
      <c r="N23" s="6">
        <f t="shared" si="10"/>
        <v>0</v>
      </c>
      <c r="O23" s="267" t="e">
        <f t="shared" si="18"/>
        <v>#DIV/0!</v>
      </c>
      <c r="P23" s="267" t="e">
        <f t="shared" si="19"/>
        <v>#DIV/0!</v>
      </c>
      <c r="Q23" s="203">
        <f t="shared" si="5"/>
        <v>0</v>
      </c>
      <c r="R23" s="203">
        <f t="shared" si="6"/>
        <v>0</v>
      </c>
      <c r="S23" s="88">
        <f t="shared" si="21"/>
        <v>0</v>
      </c>
      <c r="T23" s="89">
        <f t="shared" si="22"/>
        <v>0</v>
      </c>
      <c r="U23" s="89" t="e">
        <f t="shared" si="23"/>
        <v>#DIV/0!</v>
      </c>
      <c r="V23" s="89" t="e">
        <f t="shared" si="24"/>
        <v>#DIV/0!</v>
      </c>
      <c r="W23" s="248">
        <f t="shared" si="11"/>
        <v>0</v>
      </c>
      <c r="X23" s="89">
        <f t="shared" si="12"/>
        <v>0</v>
      </c>
    </row>
    <row r="24" spans="1:24" s="92" customFormat="1" ht="20.25" hidden="1">
      <c r="A24" s="154" t="s">
        <v>71</v>
      </c>
      <c r="B24" s="33">
        <v>16010400</v>
      </c>
      <c r="C24" s="3"/>
      <c r="D24" s="6">
        <f t="shared" si="15"/>
        <v>0</v>
      </c>
      <c r="E24" s="6" t="e">
        <f t="shared" si="0"/>
        <v>#DIV/0!</v>
      </c>
      <c r="F24" s="3"/>
      <c r="G24" s="216"/>
      <c r="H24" s="216"/>
      <c r="I24" s="216"/>
      <c r="J24" s="216"/>
      <c r="K24" s="3"/>
      <c r="L24" s="3"/>
      <c r="M24" s="25" t="e">
        <f t="shared" si="2"/>
        <v>#DIV/0!</v>
      </c>
      <c r="N24" s="6">
        <f t="shared" si="10"/>
        <v>0</v>
      </c>
      <c r="O24" s="203" t="e">
        <f t="shared" si="18"/>
        <v>#DIV/0!</v>
      </c>
      <c r="P24" s="263" t="e">
        <f t="shared" si="19"/>
        <v>#DIV/0!</v>
      </c>
      <c r="Q24" s="203">
        <f t="shared" si="5"/>
        <v>0</v>
      </c>
      <c r="R24" s="203">
        <f t="shared" si="6"/>
        <v>0</v>
      </c>
      <c r="S24" s="88">
        <f t="shared" si="21"/>
        <v>0</v>
      </c>
      <c r="T24" s="89">
        <f t="shared" si="22"/>
        <v>0</v>
      </c>
      <c r="U24" s="89" t="e">
        <f t="shared" si="23"/>
        <v>#DIV/0!</v>
      </c>
      <c r="V24" s="89" t="e">
        <f t="shared" si="24"/>
        <v>#DIV/0!</v>
      </c>
      <c r="W24" s="248">
        <f t="shared" si="11"/>
        <v>0</v>
      </c>
      <c r="X24" s="89">
        <f t="shared" si="12"/>
        <v>0</v>
      </c>
    </row>
    <row r="25" spans="1:24" s="155" customFormat="1" ht="20.25" hidden="1">
      <c r="A25" s="29" t="s">
        <v>72</v>
      </c>
      <c r="B25" s="30">
        <v>14060100</v>
      </c>
      <c r="C25" s="3"/>
      <c r="D25" s="6">
        <f t="shared" si="15"/>
        <v>0</v>
      </c>
      <c r="E25" s="6" t="e">
        <f t="shared" si="0"/>
        <v>#DIV/0!</v>
      </c>
      <c r="F25" s="8"/>
      <c r="G25" s="217">
        <f>F25/12*7</f>
        <v>0</v>
      </c>
      <c r="H25" s="217"/>
      <c r="I25" s="217"/>
      <c r="J25" s="217"/>
      <c r="K25" s="8">
        <f>J25*19/19</f>
        <v>0</v>
      </c>
      <c r="L25" s="3"/>
      <c r="M25" s="36" t="e">
        <f t="shared" si="2"/>
        <v>#DIV/0!</v>
      </c>
      <c r="N25" s="6">
        <f t="shared" si="10"/>
        <v>0</v>
      </c>
      <c r="O25" s="203" t="e">
        <f t="shared" si="18"/>
        <v>#DIV/0!</v>
      </c>
      <c r="P25" s="266" t="e">
        <f t="shared" si="19"/>
        <v>#DIV/0!</v>
      </c>
      <c r="Q25" s="203">
        <f t="shared" si="5"/>
        <v>0</v>
      </c>
      <c r="R25" s="203">
        <f t="shared" si="6"/>
        <v>0</v>
      </c>
      <c r="S25" s="88">
        <f t="shared" si="21"/>
        <v>0</v>
      </c>
      <c r="T25" s="89">
        <f t="shared" si="22"/>
        <v>0</v>
      </c>
      <c r="U25" s="89" t="e">
        <f t="shared" si="23"/>
        <v>#DIV/0!</v>
      </c>
      <c r="V25" s="89" t="e">
        <f t="shared" si="24"/>
        <v>#DIV/0!</v>
      </c>
      <c r="W25" s="248">
        <f t="shared" si="11"/>
        <v>0</v>
      </c>
      <c r="X25" s="89">
        <f t="shared" si="12"/>
        <v>0</v>
      </c>
    </row>
    <row r="26" spans="1:24" s="147" customFormat="1" ht="20.25">
      <c r="A26" s="153" t="s">
        <v>127</v>
      </c>
      <c r="B26" s="55">
        <v>18000000</v>
      </c>
      <c r="C26" s="9">
        <f>SUM(C27:C34)-C27</f>
        <v>323360.20000000007</v>
      </c>
      <c r="D26" s="6">
        <f t="shared" si="15"/>
        <v>43796.39999999991</v>
      </c>
      <c r="E26" s="6">
        <f t="shared" si="0"/>
        <v>113.54415292914832</v>
      </c>
      <c r="F26" s="9">
        <f aca="true" t="shared" si="25" ref="F26:L26">SUM(F27:F34)-F27</f>
        <v>317545.60000000003</v>
      </c>
      <c r="G26" s="205">
        <f t="shared" si="25"/>
        <v>317545.60000000003</v>
      </c>
      <c r="H26" s="205">
        <f t="shared" si="25"/>
        <v>317545.60000000003</v>
      </c>
      <c r="I26" s="205">
        <f t="shared" si="25"/>
        <v>174062.5</v>
      </c>
      <c r="J26" s="205">
        <f>SUM(J27:J34)-J27</f>
        <v>161921.1</v>
      </c>
      <c r="K26" s="9">
        <f t="shared" si="25"/>
        <v>367156.6</v>
      </c>
      <c r="L26" s="9" t="e">
        <f t="shared" si="25"/>
        <v>#REF!</v>
      </c>
      <c r="M26" s="6">
        <f t="shared" si="2"/>
        <v>115.62326796529379</v>
      </c>
      <c r="N26" s="6">
        <f t="shared" si="10"/>
        <v>49610.99999999994</v>
      </c>
      <c r="O26" s="203">
        <f t="shared" si="18"/>
        <v>115.62326796529379</v>
      </c>
      <c r="P26" s="203">
        <f t="shared" si="19"/>
        <v>226.75031234348086</v>
      </c>
      <c r="Q26" s="203">
        <f t="shared" si="5"/>
        <v>49610.99999999994</v>
      </c>
      <c r="R26" s="203">
        <f t="shared" si="6"/>
        <v>205235.49999999997</v>
      </c>
      <c r="S26" s="88">
        <f t="shared" si="21"/>
        <v>22.729499121789797</v>
      </c>
      <c r="T26" s="89">
        <f t="shared" si="22"/>
        <v>0</v>
      </c>
      <c r="U26" s="89">
        <f t="shared" si="23"/>
        <v>0</v>
      </c>
      <c r="V26" s="89">
        <f t="shared" si="24"/>
        <v>0</v>
      </c>
      <c r="W26" s="248">
        <f t="shared" si="11"/>
        <v>0</v>
      </c>
      <c r="X26" s="89">
        <f t="shared" si="12"/>
        <v>12141.399999999994</v>
      </c>
    </row>
    <row r="27" spans="1:24" s="91" customFormat="1" ht="20.25">
      <c r="A27" s="154" t="s">
        <v>132</v>
      </c>
      <c r="B27" s="30">
        <v>18010000</v>
      </c>
      <c r="C27" s="3">
        <f>C28+C29+C30+C31</f>
        <v>170575.59999999998</v>
      </c>
      <c r="D27" s="25">
        <f t="shared" si="15"/>
        <v>11037.400000000023</v>
      </c>
      <c r="E27" s="25">
        <f t="shared" si="0"/>
        <v>106.47067927652023</v>
      </c>
      <c r="F27" s="3">
        <f aca="true" t="shared" si="26" ref="F27:K27">F28+F29+F30+F31</f>
        <v>173612.2</v>
      </c>
      <c r="G27" s="216">
        <f t="shared" si="26"/>
        <v>173612.2</v>
      </c>
      <c r="H27" s="216">
        <f t="shared" si="26"/>
        <v>173612.2</v>
      </c>
      <c r="I27" s="216">
        <f t="shared" si="26"/>
        <v>85347.89999999998</v>
      </c>
      <c r="J27" s="216">
        <f>J28+J29+J30+J31</f>
        <v>76882.50000000003</v>
      </c>
      <c r="K27" s="3">
        <f t="shared" si="26"/>
        <v>181613</v>
      </c>
      <c r="L27" s="3" t="e">
        <f>K27-#REF!</f>
        <v>#REF!</v>
      </c>
      <c r="M27" s="25">
        <f t="shared" si="2"/>
        <v>104.60843189591513</v>
      </c>
      <c r="N27" s="25">
        <f t="shared" si="10"/>
        <v>8000.799999999988</v>
      </c>
      <c r="O27" s="263">
        <f t="shared" si="18"/>
        <v>104.60843189591513</v>
      </c>
      <c r="P27" s="263">
        <f t="shared" si="19"/>
        <v>236.22150684486058</v>
      </c>
      <c r="Q27" s="263">
        <f t="shared" si="5"/>
        <v>8000.799999999988</v>
      </c>
      <c r="R27" s="263">
        <f t="shared" si="6"/>
        <v>104730.49999999997</v>
      </c>
      <c r="S27" s="88">
        <f t="shared" si="21"/>
        <v>11.243084079124849</v>
      </c>
      <c r="T27" s="89">
        <f t="shared" si="22"/>
        <v>0</v>
      </c>
      <c r="U27" s="89">
        <f t="shared" si="23"/>
        <v>0</v>
      </c>
      <c r="V27" s="89">
        <f t="shared" si="24"/>
        <v>0</v>
      </c>
      <c r="W27" s="248">
        <f t="shared" si="11"/>
        <v>0</v>
      </c>
      <c r="X27" s="89">
        <f t="shared" si="12"/>
        <v>8465.39999999995</v>
      </c>
    </row>
    <row r="28" spans="1:24" s="91" customFormat="1" ht="60">
      <c r="A28" s="154" t="s">
        <v>133</v>
      </c>
      <c r="B28" s="156" t="s">
        <v>298</v>
      </c>
      <c r="C28" s="3">
        <v>6769.3</v>
      </c>
      <c r="D28" s="25">
        <f t="shared" si="15"/>
        <v>1633.499999999999</v>
      </c>
      <c r="E28" s="25">
        <f t="shared" si="0"/>
        <v>124.13100320564902</v>
      </c>
      <c r="F28" s="3">
        <f>12300-5872.3</f>
        <v>6427.7</v>
      </c>
      <c r="G28" s="216">
        <f aca="true" t="shared" si="27" ref="G28:G34">ROUND(F28*$T$6,1)</f>
        <v>6427.7</v>
      </c>
      <c r="H28" s="219">
        <f aca="true" t="shared" si="28" ref="H28:H34">ROUND((F28*$T$7+F28*$T$8),1)</f>
        <v>6427.7</v>
      </c>
      <c r="I28" s="216">
        <v>3109.4</v>
      </c>
      <c r="J28" s="216">
        <v>2969.2999999999997</v>
      </c>
      <c r="K28" s="3">
        <v>8402.8</v>
      </c>
      <c r="L28" s="3" t="e">
        <f>K28-#REF!</f>
        <v>#REF!</v>
      </c>
      <c r="M28" s="25">
        <f t="shared" si="2"/>
        <v>130.72794312117864</v>
      </c>
      <c r="N28" s="25">
        <f t="shared" si="10"/>
        <v>1975.0999999999995</v>
      </c>
      <c r="O28" s="263">
        <f t="shared" si="18"/>
        <v>130.72794312117864</v>
      </c>
      <c r="P28" s="263">
        <f t="shared" si="19"/>
        <v>282.98925672717473</v>
      </c>
      <c r="Q28" s="263">
        <f t="shared" si="5"/>
        <v>1975.0999999999995</v>
      </c>
      <c r="R28" s="263">
        <f t="shared" si="6"/>
        <v>5433.5</v>
      </c>
      <c r="S28" s="88">
        <f t="shared" si="21"/>
        <v>0.5201906631137103</v>
      </c>
      <c r="T28" s="89">
        <f t="shared" si="22"/>
        <v>0</v>
      </c>
      <c r="U28" s="89">
        <f t="shared" si="23"/>
        <v>0</v>
      </c>
      <c r="V28" s="89">
        <f t="shared" si="24"/>
        <v>0</v>
      </c>
      <c r="W28" s="248">
        <f t="shared" si="11"/>
        <v>0</v>
      </c>
      <c r="X28" s="89">
        <f t="shared" si="12"/>
        <v>140.10000000000036</v>
      </c>
    </row>
    <row r="29" spans="1:24" s="91" customFormat="1" ht="60">
      <c r="A29" s="154" t="s">
        <v>134</v>
      </c>
      <c r="B29" s="30" t="s">
        <v>135</v>
      </c>
      <c r="C29" s="3">
        <v>162473.1</v>
      </c>
      <c r="D29" s="25">
        <f t="shared" si="15"/>
        <v>9470.699999999983</v>
      </c>
      <c r="E29" s="25">
        <f t="shared" si="0"/>
        <v>105.82908801518526</v>
      </c>
      <c r="F29" s="3">
        <v>166595</v>
      </c>
      <c r="G29" s="216">
        <f t="shared" si="27"/>
        <v>166595</v>
      </c>
      <c r="H29" s="219">
        <f t="shared" si="28"/>
        <v>166595</v>
      </c>
      <c r="I29" s="216">
        <v>81936.2</v>
      </c>
      <c r="J29" s="216">
        <v>73625.30000000002</v>
      </c>
      <c r="K29" s="3">
        <v>171943.8</v>
      </c>
      <c r="L29" s="3" t="e">
        <f>K29-#REF!</f>
        <v>#REF!</v>
      </c>
      <c r="M29" s="25">
        <f t="shared" si="2"/>
        <v>103.21066058405113</v>
      </c>
      <c r="N29" s="25">
        <f t="shared" si="10"/>
        <v>5348.799999999988</v>
      </c>
      <c r="O29" s="263">
        <f t="shared" si="18"/>
        <v>103.21066058405113</v>
      </c>
      <c r="P29" s="263">
        <f t="shared" si="19"/>
        <v>233.53901444204635</v>
      </c>
      <c r="Q29" s="263">
        <f t="shared" si="5"/>
        <v>5348.799999999988</v>
      </c>
      <c r="R29" s="263">
        <f t="shared" si="6"/>
        <v>98318.49999999997</v>
      </c>
      <c r="S29" s="88">
        <f t="shared" si="21"/>
        <v>10.644494613734848</v>
      </c>
      <c r="T29" s="89">
        <f t="shared" si="22"/>
        <v>0</v>
      </c>
      <c r="U29" s="89">
        <f t="shared" si="23"/>
        <v>0</v>
      </c>
      <c r="V29" s="89">
        <f t="shared" si="24"/>
        <v>0</v>
      </c>
      <c r="W29" s="248">
        <f t="shared" si="11"/>
        <v>0</v>
      </c>
      <c r="X29" s="89">
        <f t="shared" si="12"/>
        <v>8310.89999999998</v>
      </c>
    </row>
    <row r="30" spans="1:24" s="91" customFormat="1" ht="20.25">
      <c r="A30" s="154" t="s">
        <v>147</v>
      </c>
      <c r="B30" s="30">
        <v>18011000</v>
      </c>
      <c r="C30" s="3">
        <v>704.4</v>
      </c>
      <c r="D30" s="25">
        <f t="shared" si="15"/>
        <v>-86.19999999999993</v>
      </c>
      <c r="E30" s="25">
        <f t="shared" si="0"/>
        <v>87.7626348665531</v>
      </c>
      <c r="F30" s="3">
        <v>350</v>
      </c>
      <c r="G30" s="216">
        <f t="shared" si="27"/>
        <v>350</v>
      </c>
      <c r="H30" s="219">
        <f t="shared" si="28"/>
        <v>350</v>
      </c>
      <c r="I30" s="216">
        <v>93.4</v>
      </c>
      <c r="J30" s="216">
        <v>91.3</v>
      </c>
      <c r="K30" s="3">
        <v>618.2</v>
      </c>
      <c r="L30" s="3" t="e">
        <f>K30-#REF!</f>
        <v>#REF!</v>
      </c>
      <c r="M30" s="25">
        <f t="shared" si="2"/>
        <v>176.62857142857143</v>
      </c>
      <c r="N30" s="25">
        <f t="shared" si="10"/>
        <v>268.20000000000005</v>
      </c>
      <c r="O30" s="263">
        <f t="shared" si="18"/>
        <v>176.62857142857143</v>
      </c>
      <c r="P30" s="263">
        <f t="shared" si="19"/>
        <v>677.1084337349398</v>
      </c>
      <c r="Q30" s="263">
        <f t="shared" si="5"/>
        <v>268.20000000000005</v>
      </c>
      <c r="R30" s="263">
        <f t="shared" si="6"/>
        <v>526.9000000000001</v>
      </c>
      <c r="S30" s="88">
        <f t="shared" si="21"/>
        <v>0.03827079877384869</v>
      </c>
      <c r="T30" s="89">
        <f t="shared" si="22"/>
        <v>0</v>
      </c>
      <c r="U30" s="89">
        <f t="shared" si="23"/>
        <v>0</v>
      </c>
      <c r="V30" s="89">
        <f t="shared" si="24"/>
        <v>0</v>
      </c>
      <c r="W30" s="248">
        <f t="shared" si="11"/>
        <v>0</v>
      </c>
      <c r="X30" s="89">
        <f t="shared" si="12"/>
        <v>2.1000000000000085</v>
      </c>
    </row>
    <row r="31" spans="1:24" s="91" customFormat="1" ht="20.25">
      <c r="A31" s="154" t="s">
        <v>146</v>
      </c>
      <c r="B31" s="30">
        <v>18011100</v>
      </c>
      <c r="C31" s="3">
        <v>628.8</v>
      </c>
      <c r="D31" s="25">
        <f t="shared" si="15"/>
        <v>19.399999999999977</v>
      </c>
      <c r="E31" s="25">
        <f t="shared" si="0"/>
        <v>103.08524173027989</v>
      </c>
      <c r="F31" s="3">
        <v>239.5</v>
      </c>
      <c r="G31" s="216">
        <f t="shared" si="27"/>
        <v>239.5</v>
      </c>
      <c r="H31" s="219">
        <f t="shared" si="28"/>
        <v>239.5</v>
      </c>
      <c r="I31" s="216">
        <v>208.9</v>
      </c>
      <c r="J31" s="216">
        <v>196.6</v>
      </c>
      <c r="K31" s="3">
        <v>648.1999999999999</v>
      </c>
      <c r="L31" s="3" t="e">
        <f>K31-#REF!</f>
        <v>#REF!</v>
      </c>
      <c r="M31" s="25">
        <f t="shared" si="2"/>
        <v>270.64718162839245</v>
      </c>
      <c r="N31" s="25">
        <f t="shared" si="10"/>
        <v>408.69999999999993</v>
      </c>
      <c r="O31" s="263">
        <f t="shared" si="18"/>
        <v>270.64718162839245</v>
      </c>
      <c r="P31" s="263">
        <f t="shared" si="19"/>
        <v>329.70498474059</v>
      </c>
      <c r="Q31" s="263">
        <f t="shared" si="5"/>
        <v>408.69999999999993</v>
      </c>
      <c r="R31" s="263">
        <f t="shared" si="6"/>
        <v>451.5999999999999</v>
      </c>
      <c r="S31" s="88">
        <f t="shared" si="21"/>
        <v>0.0401280035024405</v>
      </c>
      <c r="T31" s="89">
        <f t="shared" si="22"/>
        <v>0</v>
      </c>
      <c r="U31" s="89">
        <f t="shared" si="23"/>
        <v>0</v>
      </c>
      <c r="V31" s="89">
        <f t="shared" si="24"/>
        <v>0</v>
      </c>
      <c r="W31" s="248">
        <f t="shared" si="11"/>
        <v>0</v>
      </c>
      <c r="X31" s="89">
        <f t="shared" si="12"/>
        <v>12.300000000000011</v>
      </c>
    </row>
    <row r="32" spans="1:24" s="91" customFormat="1" ht="20.25">
      <c r="A32" s="154" t="s">
        <v>74</v>
      </c>
      <c r="B32" s="30">
        <v>18030000</v>
      </c>
      <c r="C32" s="3">
        <v>188.9</v>
      </c>
      <c r="D32" s="25">
        <f t="shared" si="15"/>
        <v>48.19999999999999</v>
      </c>
      <c r="E32" s="25">
        <f t="shared" si="0"/>
        <v>125.5161461090524</v>
      </c>
      <c r="F32" s="3">
        <v>130</v>
      </c>
      <c r="G32" s="216">
        <f t="shared" si="27"/>
        <v>130</v>
      </c>
      <c r="H32" s="219">
        <f t="shared" si="28"/>
        <v>130</v>
      </c>
      <c r="I32" s="216">
        <v>103.4</v>
      </c>
      <c r="J32" s="216">
        <v>90</v>
      </c>
      <c r="K32" s="3">
        <v>237.1</v>
      </c>
      <c r="L32" s="3" t="e">
        <f>K32-#REF!</f>
        <v>#REF!</v>
      </c>
      <c r="M32" s="25">
        <f t="shared" si="2"/>
        <v>182.3846153846154</v>
      </c>
      <c r="N32" s="25">
        <f t="shared" si="10"/>
        <v>107.1</v>
      </c>
      <c r="O32" s="263">
        <f t="shared" si="18"/>
        <v>182.3846153846154</v>
      </c>
      <c r="P32" s="263">
        <f t="shared" si="19"/>
        <v>263.44444444444446</v>
      </c>
      <c r="Q32" s="263">
        <f t="shared" si="5"/>
        <v>107.1</v>
      </c>
      <c r="R32" s="263">
        <f t="shared" si="6"/>
        <v>147.1</v>
      </c>
      <c r="S32" s="88">
        <f t="shared" si="21"/>
        <v>0.014678108038303984</v>
      </c>
      <c r="T32" s="89">
        <f t="shared" si="22"/>
        <v>0</v>
      </c>
      <c r="U32" s="89">
        <f t="shared" si="23"/>
        <v>0</v>
      </c>
      <c r="V32" s="89">
        <f t="shared" si="24"/>
        <v>0</v>
      </c>
      <c r="W32" s="248">
        <f t="shared" si="11"/>
        <v>0</v>
      </c>
      <c r="X32" s="89">
        <f t="shared" si="12"/>
        <v>13.400000000000006</v>
      </c>
    </row>
    <row r="33" spans="1:24" s="91" customFormat="1" ht="30">
      <c r="A33" s="154" t="s">
        <v>128</v>
      </c>
      <c r="B33" s="30" t="s">
        <v>75</v>
      </c>
      <c r="C33" s="3">
        <v>-44.9</v>
      </c>
      <c r="D33" s="25">
        <f t="shared" si="15"/>
        <v>29.9</v>
      </c>
      <c r="E33" s="25">
        <f t="shared" si="0"/>
        <v>33.4075723830735</v>
      </c>
      <c r="F33" s="3"/>
      <c r="G33" s="216">
        <f t="shared" si="27"/>
        <v>0</v>
      </c>
      <c r="H33" s="216">
        <f t="shared" si="28"/>
        <v>0</v>
      </c>
      <c r="I33" s="216"/>
      <c r="J33" s="216"/>
      <c r="K33" s="3">
        <v>-15</v>
      </c>
      <c r="L33" s="3" t="e">
        <f>K33-#REF!</f>
        <v>#REF!</v>
      </c>
      <c r="M33" s="14" t="e">
        <f t="shared" si="2"/>
        <v>#DIV/0!</v>
      </c>
      <c r="N33" s="25">
        <f t="shared" si="10"/>
        <v>-15</v>
      </c>
      <c r="O33" s="264" t="e">
        <f t="shared" si="18"/>
        <v>#DIV/0!</v>
      </c>
      <c r="P33" s="264" t="e">
        <f t="shared" si="19"/>
        <v>#DIV/0!</v>
      </c>
      <c r="Q33" s="263">
        <f t="shared" si="5"/>
        <v>-15</v>
      </c>
      <c r="R33" s="263">
        <f t="shared" si="6"/>
        <v>-15</v>
      </c>
      <c r="S33" s="88">
        <f t="shared" si="21"/>
        <v>-0.0009286023642959079</v>
      </c>
      <c r="T33" s="89">
        <f t="shared" si="22"/>
        <v>0</v>
      </c>
      <c r="U33" s="89" t="e">
        <f t="shared" si="23"/>
        <v>#DIV/0!</v>
      </c>
      <c r="V33" s="89" t="e">
        <f t="shared" si="24"/>
        <v>#DIV/0!</v>
      </c>
      <c r="W33" s="248">
        <f t="shared" si="11"/>
        <v>0</v>
      </c>
      <c r="X33" s="89">
        <f t="shared" si="12"/>
        <v>0</v>
      </c>
    </row>
    <row r="34" spans="1:24" s="91" customFormat="1" ht="20.25">
      <c r="A34" s="154" t="s">
        <v>136</v>
      </c>
      <c r="B34" s="30">
        <v>18050000</v>
      </c>
      <c r="C34" s="3">
        <v>152640.6</v>
      </c>
      <c r="D34" s="25">
        <f t="shared" si="15"/>
        <v>32680.899999999994</v>
      </c>
      <c r="E34" s="25">
        <f t="shared" si="0"/>
        <v>121.41035871190233</v>
      </c>
      <c r="F34" s="3">
        <f>137803.4+6000</f>
        <v>143803.4</v>
      </c>
      <c r="G34" s="216">
        <f t="shared" si="27"/>
        <v>143803.4</v>
      </c>
      <c r="H34" s="219">
        <f t="shared" si="28"/>
        <v>143803.4</v>
      </c>
      <c r="I34" s="216">
        <v>88611.2</v>
      </c>
      <c r="J34" s="216">
        <v>84948.6</v>
      </c>
      <c r="K34" s="3">
        <v>185321.5</v>
      </c>
      <c r="L34" s="3" t="e">
        <f>K34-#REF!</f>
        <v>#REF!</v>
      </c>
      <c r="M34" s="25">
        <f t="shared" si="2"/>
        <v>128.87143141260918</v>
      </c>
      <c r="N34" s="25">
        <f t="shared" si="10"/>
        <v>41518.100000000006</v>
      </c>
      <c r="O34" s="263">
        <f t="shared" si="18"/>
        <v>128.87143141260918</v>
      </c>
      <c r="P34" s="263">
        <f t="shared" si="19"/>
        <v>218.1572150688769</v>
      </c>
      <c r="Q34" s="263">
        <f t="shared" si="5"/>
        <v>41518.100000000006</v>
      </c>
      <c r="R34" s="263">
        <f t="shared" si="6"/>
        <v>100372.9</v>
      </c>
      <c r="S34" s="88">
        <f t="shared" si="21"/>
        <v>11.47266553699094</v>
      </c>
      <c r="T34" s="89">
        <f t="shared" si="22"/>
        <v>0</v>
      </c>
      <c r="U34" s="89">
        <f t="shared" si="23"/>
        <v>0</v>
      </c>
      <c r="V34" s="89">
        <f t="shared" si="24"/>
        <v>0</v>
      </c>
      <c r="W34" s="248">
        <f t="shared" si="11"/>
        <v>0</v>
      </c>
      <c r="X34" s="89">
        <f t="shared" si="12"/>
        <v>3662.5999999999913</v>
      </c>
    </row>
    <row r="35" spans="1:24" s="147" customFormat="1" ht="20.25">
      <c r="A35" s="149" t="s">
        <v>77</v>
      </c>
      <c r="B35" s="43">
        <v>20000000</v>
      </c>
      <c r="C35" s="9">
        <f>C36+C45+C54</f>
        <v>73667.4</v>
      </c>
      <c r="D35" s="6">
        <f t="shared" si="15"/>
        <v>-6916.199999999997</v>
      </c>
      <c r="E35" s="6">
        <f t="shared" si="0"/>
        <v>90.6115866719879</v>
      </c>
      <c r="F35" s="9">
        <f aca="true" t="shared" si="29" ref="F35:L35">F36+F45+F54</f>
        <v>58120</v>
      </c>
      <c r="G35" s="205">
        <f t="shared" si="29"/>
        <v>58120</v>
      </c>
      <c r="H35" s="205">
        <f t="shared" si="29"/>
        <v>58119.799999999996</v>
      </c>
      <c r="I35" s="205">
        <f t="shared" si="29"/>
        <v>27637.599999999995</v>
      </c>
      <c r="J35" s="205">
        <f>J36+J45+J54</f>
        <v>24433.999999999996</v>
      </c>
      <c r="K35" s="9">
        <f t="shared" si="29"/>
        <v>66751.2</v>
      </c>
      <c r="L35" s="9" t="e">
        <f t="shared" si="29"/>
        <v>#REF!</v>
      </c>
      <c r="M35" s="9">
        <f t="shared" si="2"/>
        <v>114.8506538196834</v>
      </c>
      <c r="N35" s="6">
        <f t="shared" si="10"/>
        <v>8631.199999999997</v>
      </c>
      <c r="O35" s="203">
        <f t="shared" si="18"/>
        <v>114.85104904008617</v>
      </c>
      <c r="P35" s="205">
        <f t="shared" si="19"/>
        <v>273.1898174674634</v>
      </c>
      <c r="Q35" s="203">
        <f t="shared" si="5"/>
        <v>8631.400000000001</v>
      </c>
      <c r="R35" s="203">
        <f t="shared" si="6"/>
        <v>42317.2</v>
      </c>
      <c r="S35" s="88">
        <f t="shared" si="21"/>
        <v>4.132354809305934</v>
      </c>
      <c r="T35" s="89">
        <f t="shared" si="22"/>
        <v>0</v>
      </c>
      <c r="U35" s="89">
        <f t="shared" si="23"/>
        <v>0</v>
      </c>
      <c r="V35" s="89">
        <f t="shared" si="24"/>
        <v>0</v>
      </c>
      <c r="W35" s="248">
        <f t="shared" si="11"/>
        <v>0.20000000000436557</v>
      </c>
      <c r="X35" s="89">
        <f t="shared" si="12"/>
        <v>3203.5999999999985</v>
      </c>
    </row>
    <row r="36" spans="1:24" s="147" customFormat="1" ht="20.25">
      <c r="A36" s="149" t="s">
        <v>78</v>
      </c>
      <c r="B36" s="43">
        <v>21000000</v>
      </c>
      <c r="C36" s="9">
        <f>C39+C40+C37</f>
        <v>38180.09999999999</v>
      </c>
      <c r="D36" s="6">
        <f t="shared" si="15"/>
        <v>-19649.89999999999</v>
      </c>
      <c r="E36" s="6">
        <f t="shared" si="0"/>
        <v>48.533660205185434</v>
      </c>
      <c r="F36" s="9">
        <f aca="true" t="shared" si="30" ref="F36:L36">F39+F40+F37</f>
        <v>24252.8</v>
      </c>
      <c r="G36" s="205">
        <f t="shared" si="30"/>
        <v>24252.8</v>
      </c>
      <c r="H36" s="205">
        <f t="shared" si="30"/>
        <v>24252.8</v>
      </c>
      <c r="I36" s="205">
        <f t="shared" si="30"/>
        <v>6353.3</v>
      </c>
      <c r="J36" s="205">
        <f>J39+J40+J37</f>
        <v>5554.5</v>
      </c>
      <c r="K36" s="9">
        <f>K39+K40+K37</f>
        <v>18530.2</v>
      </c>
      <c r="L36" s="9" t="e">
        <f t="shared" si="30"/>
        <v>#REF!</v>
      </c>
      <c r="M36" s="9">
        <f t="shared" si="2"/>
        <v>76.40437392795883</v>
      </c>
      <c r="N36" s="6">
        <f t="shared" si="10"/>
        <v>-5722.5999999999985</v>
      </c>
      <c r="O36" s="203">
        <f t="shared" si="18"/>
        <v>76.40437392795883</v>
      </c>
      <c r="P36" s="205">
        <f t="shared" si="19"/>
        <v>333.6069853272122</v>
      </c>
      <c r="Q36" s="203">
        <f t="shared" si="5"/>
        <v>-5722.5999999999985</v>
      </c>
      <c r="R36" s="203">
        <f t="shared" si="6"/>
        <v>12975.7</v>
      </c>
      <c r="S36" s="88">
        <f t="shared" si="21"/>
        <v>1.1471458353917356</v>
      </c>
      <c r="T36" s="89">
        <f t="shared" si="22"/>
        <v>0</v>
      </c>
      <c r="U36" s="89">
        <f t="shared" si="23"/>
        <v>0</v>
      </c>
      <c r="V36" s="89">
        <f t="shared" si="24"/>
        <v>0</v>
      </c>
      <c r="W36" s="248">
        <f t="shared" si="11"/>
        <v>0</v>
      </c>
      <c r="X36" s="89">
        <f t="shared" si="12"/>
        <v>798.8000000000002</v>
      </c>
    </row>
    <row r="37" spans="1:24" s="91" customFormat="1" ht="75">
      <c r="A37" s="26" t="s">
        <v>164</v>
      </c>
      <c r="B37" s="27">
        <v>21010000</v>
      </c>
      <c r="C37" s="3">
        <f>C38</f>
        <v>52.2</v>
      </c>
      <c r="D37" s="25">
        <f t="shared" si="15"/>
        <v>-41.5</v>
      </c>
      <c r="E37" s="25">
        <f t="shared" si="0"/>
        <v>20.498084291187737</v>
      </c>
      <c r="F37" s="3">
        <f aca="true" t="shared" si="31" ref="F37:L37">F38</f>
        <v>100.8</v>
      </c>
      <c r="G37" s="216">
        <f t="shared" si="31"/>
        <v>100.8</v>
      </c>
      <c r="H37" s="216">
        <f t="shared" si="31"/>
        <v>100.8</v>
      </c>
      <c r="I37" s="216">
        <f t="shared" si="31"/>
        <v>58.5</v>
      </c>
      <c r="J37" s="216">
        <f t="shared" si="31"/>
        <v>58.5</v>
      </c>
      <c r="K37" s="3">
        <f t="shared" si="31"/>
        <v>10.7</v>
      </c>
      <c r="L37" s="3" t="e">
        <f t="shared" si="31"/>
        <v>#REF!</v>
      </c>
      <c r="M37" s="3">
        <f t="shared" si="2"/>
        <v>10.615079365079366</v>
      </c>
      <c r="N37" s="25">
        <f t="shared" si="10"/>
        <v>-90.1</v>
      </c>
      <c r="O37" s="263">
        <f t="shared" si="18"/>
        <v>10.615079365079366</v>
      </c>
      <c r="P37" s="216">
        <f t="shared" si="19"/>
        <v>18.29059829059829</v>
      </c>
      <c r="Q37" s="263">
        <f t="shared" si="5"/>
        <v>-90.1</v>
      </c>
      <c r="R37" s="263">
        <f t="shared" si="6"/>
        <v>-47.8</v>
      </c>
      <c r="S37" s="88">
        <f t="shared" si="21"/>
        <v>0.0006624030198644143</v>
      </c>
      <c r="T37" s="89">
        <f t="shared" si="22"/>
        <v>0</v>
      </c>
      <c r="U37" s="89">
        <f t="shared" si="23"/>
        <v>0</v>
      </c>
      <c r="V37" s="89">
        <f t="shared" si="24"/>
        <v>0</v>
      </c>
      <c r="W37" s="248">
        <f t="shared" si="11"/>
        <v>0</v>
      </c>
      <c r="X37" s="89">
        <f t="shared" si="12"/>
        <v>0</v>
      </c>
    </row>
    <row r="38" spans="1:24" s="158" customFormat="1" ht="45">
      <c r="A38" s="59" t="s">
        <v>107</v>
      </c>
      <c r="B38" s="157">
        <v>21010300</v>
      </c>
      <c r="C38" s="8">
        <v>52.2</v>
      </c>
      <c r="D38" s="36">
        <f t="shared" si="15"/>
        <v>-41.5</v>
      </c>
      <c r="E38" s="36">
        <f t="shared" si="0"/>
        <v>20.498084291187737</v>
      </c>
      <c r="F38" s="8">
        <v>100.8</v>
      </c>
      <c r="G38" s="216">
        <f>ROUND(F38*$T$6,1)</f>
        <v>100.8</v>
      </c>
      <c r="H38" s="219">
        <f>ROUND((F38*$T$7+F38*$T$8),1)</f>
        <v>100.8</v>
      </c>
      <c r="I38" s="217">
        <v>58.5</v>
      </c>
      <c r="J38" s="217">
        <v>58.5</v>
      </c>
      <c r="K38" s="8">
        <v>10.7</v>
      </c>
      <c r="L38" s="3" t="e">
        <f>K38-#REF!</f>
        <v>#REF!</v>
      </c>
      <c r="M38" s="8">
        <f t="shared" si="2"/>
        <v>10.615079365079366</v>
      </c>
      <c r="N38" s="36">
        <f t="shared" si="10"/>
        <v>-90.1</v>
      </c>
      <c r="O38" s="266">
        <f t="shared" si="18"/>
        <v>10.615079365079366</v>
      </c>
      <c r="P38" s="217">
        <f t="shared" si="19"/>
        <v>18.29059829059829</v>
      </c>
      <c r="Q38" s="266">
        <f t="shared" si="5"/>
        <v>-90.1</v>
      </c>
      <c r="R38" s="266">
        <f t="shared" si="6"/>
        <v>-47.8</v>
      </c>
      <c r="S38" s="88">
        <f t="shared" si="21"/>
        <v>0.0006624030198644143</v>
      </c>
      <c r="T38" s="240">
        <f aca="true" t="shared" si="32" ref="T38:T44">F38*6/12+F38*18/(21*12)</f>
        <v>57.599999999999994</v>
      </c>
      <c r="U38" s="89">
        <f t="shared" si="23"/>
        <v>0</v>
      </c>
      <c r="V38" s="89">
        <f t="shared" si="24"/>
        <v>0</v>
      </c>
      <c r="W38" s="248">
        <f t="shared" si="11"/>
        <v>0</v>
      </c>
      <c r="X38" s="89">
        <f t="shared" si="12"/>
        <v>0</v>
      </c>
    </row>
    <row r="39" spans="1:24" s="147" customFormat="1" ht="31.5">
      <c r="A39" s="308" t="s">
        <v>79</v>
      </c>
      <c r="B39" s="55">
        <v>21050000</v>
      </c>
      <c r="C39" s="9">
        <v>37343.7</v>
      </c>
      <c r="D39" s="6">
        <f t="shared" si="15"/>
        <v>-20693.1</v>
      </c>
      <c r="E39" s="6">
        <f t="shared" si="0"/>
        <v>44.58744045180312</v>
      </c>
      <c r="F39" s="9">
        <f>19551+4040.9</f>
        <v>23591.9</v>
      </c>
      <c r="G39" s="205">
        <f>ROUND(F39*$T$6,1)</f>
        <v>23591.9</v>
      </c>
      <c r="H39" s="205">
        <f>ROUND((F39*$T$7+F39*$T$8),1)</f>
        <v>23591.9</v>
      </c>
      <c r="I39" s="205">
        <v>5845.6</v>
      </c>
      <c r="J39" s="205">
        <v>5088.9</v>
      </c>
      <c r="K39" s="9">
        <v>16650.6</v>
      </c>
      <c r="L39" s="9" t="e">
        <f>K39-#REF!</f>
        <v>#REF!</v>
      </c>
      <c r="M39" s="6">
        <f>K39/F39*100</f>
        <v>70.57761350293956</v>
      </c>
      <c r="N39" s="6">
        <f t="shared" si="10"/>
        <v>-6941.300000000003</v>
      </c>
      <c r="O39" s="203">
        <f t="shared" si="18"/>
        <v>70.57761350293956</v>
      </c>
      <c r="P39" s="203">
        <f t="shared" si="19"/>
        <v>327.19448210811765</v>
      </c>
      <c r="Q39" s="203">
        <f t="shared" si="5"/>
        <v>-6941.300000000003</v>
      </c>
      <c r="R39" s="203">
        <f t="shared" si="6"/>
        <v>11561.699999999999</v>
      </c>
      <c r="S39" s="88">
        <f t="shared" si="21"/>
        <v>1.0307857684630295</v>
      </c>
      <c r="T39" s="240">
        <f t="shared" si="32"/>
        <v>13481.085714285717</v>
      </c>
      <c r="U39" s="89">
        <f t="shared" si="23"/>
        <v>0</v>
      </c>
      <c r="V39" s="89">
        <f t="shared" si="24"/>
        <v>0</v>
      </c>
      <c r="W39" s="248">
        <f t="shared" si="11"/>
        <v>0</v>
      </c>
      <c r="X39" s="89">
        <f t="shared" si="12"/>
        <v>756.7000000000007</v>
      </c>
    </row>
    <row r="40" spans="1:24" s="91" customFormat="1" ht="20.25">
      <c r="A40" s="29" t="s">
        <v>80</v>
      </c>
      <c r="B40" s="30">
        <v>21080000</v>
      </c>
      <c r="C40" s="3">
        <f>SUM(C41:C44)</f>
        <v>784.1999999999999</v>
      </c>
      <c r="D40" s="25">
        <f t="shared" si="15"/>
        <v>1084.7000000000003</v>
      </c>
      <c r="E40" s="25">
        <f t="shared" si="0"/>
        <v>238.31930629941348</v>
      </c>
      <c r="F40" s="3">
        <f aca="true" t="shared" si="33" ref="F40:L40">SUM(F41:F44)</f>
        <v>560.1</v>
      </c>
      <c r="G40" s="216">
        <f>SUM(G41:G44)</f>
        <v>560.1</v>
      </c>
      <c r="H40" s="216">
        <f t="shared" si="33"/>
        <v>560.1</v>
      </c>
      <c r="I40" s="216">
        <f t="shared" si="33"/>
        <v>449.2</v>
      </c>
      <c r="J40" s="216">
        <f>SUM(J41:J44)</f>
        <v>407.09999999999997</v>
      </c>
      <c r="K40" s="3">
        <f t="shared" si="33"/>
        <v>1868.9</v>
      </c>
      <c r="L40" s="3" t="e">
        <f t="shared" si="33"/>
        <v>#REF!</v>
      </c>
      <c r="M40" s="3">
        <f t="shared" si="2"/>
        <v>333.67255847170145</v>
      </c>
      <c r="N40" s="25">
        <f t="shared" si="10"/>
        <v>1308.8000000000002</v>
      </c>
      <c r="O40" s="263">
        <f t="shared" si="18"/>
        <v>333.67255847170145</v>
      </c>
      <c r="P40" s="216">
        <f t="shared" si="19"/>
        <v>459.0763940063867</v>
      </c>
      <c r="Q40" s="263">
        <f t="shared" si="5"/>
        <v>1308.8000000000002</v>
      </c>
      <c r="R40" s="263">
        <f t="shared" si="6"/>
        <v>1461.8000000000002</v>
      </c>
      <c r="S40" s="88">
        <f t="shared" si="21"/>
        <v>0.1156976639088415</v>
      </c>
      <c r="T40" s="240">
        <f t="shared" si="32"/>
        <v>320.0571428571429</v>
      </c>
      <c r="U40" s="89">
        <f t="shared" si="23"/>
        <v>0</v>
      </c>
      <c r="V40" s="89">
        <f t="shared" si="24"/>
        <v>0</v>
      </c>
      <c r="W40" s="248">
        <f t="shared" si="11"/>
        <v>0</v>
      </c>
      <c r="X40" s="89">
        <f t="shared" si="12"/>
        <v>42.10000000000002</v>
      </c>
    </row>
    <row r="41" spans="1:24" s="159" customFormat="1" ht="20.25">
      <c r="A41" s="59" t="s">
        <v>80</v>
      </c>
      <c r="B41" s="33">
        <v>21080500</v>
      </c>
      <c r="C41" s="8" t="s">
        <v>184</v>
      </c>
      <c r="D41" s="25">
        <f t="shared" si="15"/>
        <v>0</v>
      </c>
      <c r="E41" s="93" t="e">
        <f t="shared" si="0"/>
        <v>#DIV/0!</v>
      </c>
      <c r="F41" s="8"/>
      <c r="G41" s="217">
        <f>ROUND(F41*$T$6,1)</f>
        <v>0</v>
      </c>
      <c r="H41" s="219">
        <f>ROUND((F41*$T$7+F41*$T$8),1)</f>
        <v>0</v>
      </c>
      <c r="I41" s="217">
        <v>0</v>
      </c>
      <c r="J41" s="217">
        <v>0</v>
      </c>
      <c r="K41" s="8"/>
      <c r="L41" s="3" t="e">
        <f>K41-#REF!</f>
        <v>#REF!</v>
      </c>
      <c r="M41" s="93" t="e">
        <f t="shared" si="2"/>
        <v>#DIV/0!</v>
      </c>
      <c r="N41" s="25">
        <f t="shared" si="10"/>
        <v>0</v>
      </c>
      <c r="O41" s="268" t="e">
        <f t="shared" si="18"/>
        <v>#DIV/0!</v>
      </c>
      <c r="P41" s="268" t="e">
        <f t="shared" si="19"/>
        <v>#DIV/0!</v>
      </c>
      <c r="Q41" s="263">
        <f t="shared" si="5"/>
        <v>0</v>
      </c>
      <c r="R41" s="263">
        <f t="shared" si="6"/>
        <v>0</v>
      </c>
      <c r="S41" s="88">
        <f t="shared" si="21"/>
        <v>0</v>
      </c>
      <c r="T41" s="240">
        <f t="shared" si="32"/>
        <v>0</v>
      </c>
      <c r="U41" s="89" t="e">
        <f t="shared" si="23"/>
        <v>#DIV/0!</v>
      </c>
      <c r="V41" s="89" t="e">
        <f t="shared" si="24"/>
        <v>#DIV/0!</v>
      </c>
      <c r="W41" s="248">
        <f t="shared" si="11"/>
        <v>0</v>
      </c>
      <c r="X41" s="89">
        <f t="shared" si="12"/>
        <v>0</v>
      </c>
    </row>
    <row r="42" spans="1:24" s="160" customFormat="1" ht="45" hidden="1">
      <c r="A42" s="59" t="s">
        <v>81</v>
      </c>
      <c r="B42" s="33">
        <v>21080900</v>
      </c>
      <c r="C42" s="8"/>
      <c r="D42" s="25">
        <f t="shared" si="15"/>
        <v>0</v>
      </c>
      <c r="E42" s="14" t="e">
        <f t="shared" si="0"/>
        <v>#DIV/0!</v>
      </c>
      <c r="F42" s="8"/>
      <c r="G42" s="217">
        <f>ROUND(F42*$T$6,1)</f>
        <v>0</v>
      </c>
      <c r="H42" s="219">
        <f>ROUND((F42*$T$7+F42*$T$8),1)</f>
        <v>0</v>
      </c>
      <c r="I42" s="217">
        <v>0</v>
      </c>
      <c r="J42" s="217">
        <v>0</v>
      </c>
      <c r="K42" s="8"/>
      <c r="L42" s="3" t="e">
        <f>K42-#REF!</f>
        <v>#REF!</v>
      </c>
      <c r="M42" s="25" t="e">
        <f t="shared" si="2"/>
        <v>#DIV/0!</v>
      </c>
      <c r="N42" s="25">
        <f t="shared" si="10"/>
        <v>0</v>
      </c>
      <c r="O42" s="263" t="e">
        <f t="shared" si="18"/>
        <v>#DIV/0!</v>
      </c>
      <c r="P42" s="264" t="e">
        <f t="shared" si="19"/>
        <v>#DIV/0!</v>
      </c>
      <c r="Q42" s="263">
        <f t="shared" si="5"/>
        <v>0</v>
      </c>
      <c r="R42" s="263">
        <f t="shared" si="6"/>
        <v>0</v>
      </c>
      <c r="S42" s="88">
        <f t="shared" si="21"/>
        <v>0</v>
      </c>
      <c r="T42" s="240">
        <f t="shared" si="32"/>
        <v>0</v>
      </c>
      <c r="U42" s="89" t="e">
        <f t="shared" si="23"/>
        <v>#DIV/0!</v>
      </c>
      <c r="V42" s="89" t="e">
        <f t="shared" si="24"/>
        <v>#DIV/0!</v>
      </c>
      <c r="W42" s="248">
        <f t="shared" si="11"/>
        <v>0</v>
      </c>
      <c r="X42" s="89">
        <f t="shared" si="12"/>
        <v>0</v>
      </c>
    </row>
    <row r="43" spans="1:24" s="160" customFormat="1" ht="20.25">
      <c r="A43" s="59" t="s">
        <v>82</v>
      </c>
      <c r="B43" s="33">
        <v>21081100</v>
      </c>
      <c r="C43" s="8">
        <v>610.3</v>
      </c>
      <c r="D43" s="8">
        <f t="shared" si="15"/>
        <v>860.5</v>
      </c>
      <c r="E43" s="8">
        <f t="shared" si="0"/>
        <v>240.99623136162543</v>
      </c>
      <c r="F43" s="3">
        <v>282</v>
      </c>
      <c r="G43" s="216">
        <f>ROUND(F43*$T$6,1)</f>
        <v>282</v>
      </c>
      <c r="H43" s="216">
        <f>ROUND((F43*$T$7+F43*$T$8),1)</f>
        <v>282</v>
      </c>
      <c r="I43" s="216">
        <v>385.2</v>
      </c>
      <c r="J43" s="216">
        <v>350.7</v>
      </c>
      <c r="K43" s="3">
        <v>1470.8</v>
      </c>
      <c r="L43" s="3" t="e">
        <f>K43-#REF!</f>
        <v>#REF!</v>
      </c>
      <c r="M43" s="3">
        <f>K43/F43*100</f>
        <v>521.5602836879432</v>
      </c>
      <c r="N43" s="3">
        <f t="shared" si="10"/>
        <v>1188.8</v>
      </c>
      <c r="O43" s="216">
        <f t="shared" si="18"/>
        <v>521.5602836879432</v>
      </c>
      <c r="P43" s="216">
        <f t="shared" si="19"/>
        <v>419.38979184488164</v>
      </c>
      <c r="Q43" s="216">
        <f t="shared" si="5"/>
        <v>1188.8</v>
      </c>
      <c r="R43" s="216">
        <f t="shared" si="6"/>
        <v>1120.1</v>
      </c>
      <c r="S43" s="88">
        <f t="shared" si="21"/>
        <v>0.09105255716042808</v>
      </c>
      <c r="T43" s="240">
        <f t="shared" si="32"/>
        <v>161.14285714285714</v>
      </c>
      <c r="U43" s="89">
        <f t="shared" si="23"/>
        <v>0</v>
      </c>
      <c r="V43" s="89">
        <f t="shared" si="24"/>
        <v>0</v>
      </c>
      <c r="W43" s="248">
        <f t="shared" si="11"/>
        <v>0</v>
      </c>
      <c r="X43" s="89">
        <f t="shared" si="12"/>
        <v>34.5</v>
      </c>
    </row>
    <row r="44" spans="1:24" s="160" customFormat="1" ht="45">
      <c r="A44" s="59" t="s">
        <v>144</v>
      </c>
      <c r="B44" s="33">
        <v>21081500</v>
      </c>
      <c r="C44" s="8">
        <v>173.9</v>
      </c>
      <c r="D44" s="8">
        <f t="shared" si="15"/>
        <v>224.20000000000002</v>
      </c>
      <c r="E44" s="25">
        <f t="shared" si="0"/>
        <v>228.92466935020127</v>
      </c>
      <c r="F44" s="8">
        <v>278.1</v>
      </c>
      <c r="G44" s="217">
        <f>ROUND(F44*$T$6,1)</f>
        <v>278.1</v>
      </c>
      <c r="H44" s="219">
        <f>ROUND((F44*$T$7+F44*$T$8),1)</f>
        <v>278.1</v>
      </c>
      <c r="I44" s="217">
        <v>64</v>
      </c>
      <c r="J44" s="217">
        <v>56.4</v>
      </c>
      <c r="K44" s="8">
        <v>398.1</v>
      </c>
      <c r="L44" s="3" t="e">
        <f>K44-#REF!</f>
        <v>#REF!</v>
      </c>
      <c r="M44" s="36">
        <f t="shared" si="2"/>
        <v>143.1499460625674</v>
      </c>
      <c r="N44" s="25">
        <f t="shared" si="10"/>
        <v>120</v>
      </c>
      <c r="O44" s="263">
        <f t="shared" si="18"/>
        <v>143.1499460625674</v>
      </c>
      <c r="P44" s="266">
        <f t="shared" si="19"/>
        <v>705.8510638297873</v>
      </c>
      <c r="Q44" s="263">
        <f t="shared" si="5"/>
        <v>120</v>
      </c>
      <c r="R44" s="263">
        <f t="shared" si="6"/>
        <v>341.70000000000005</v>
      </c>
      <c r="S44" s="88">
        <f t="shared" si="21"/>
        <v>0.024645106748413397</v>
      </c>
      <c r="T44" s="240">
        <f t="shared" si="32"/>
        <v>158.9142857142857</v>
      </c>
      <c r="U44" s="89">
        <f t="shared" si="23"/>
        <v>0</v>
      </c>
      <c r="V44" s="89">
        <f t="shared" si="24"/>
        <v>0</v>
      </c>
      <c r="W44" s="248">
        <f t="shared" si="11"/>
        <v>0</v>
      </c>
      <c r="X44" s="89">
        <f t="shared" si="12"/>
        <v>7.600000000000001</v>
      </c>
    </row>
    <row r="45" spans="1:24" s="147" customFormat="1" ht="31.5">
      <c r="A45" s="149" t="s">
        <v>83</v>
      </c>
      <c r="B45" s="43">
        <v>22000000</v>
      </c>
      <c r="C45" s="9">
        <f>C51+C53+C46</f>
        <v>32339</v>
      </c>
      <c r="D45" s="6">
        <f t="shared" si="15"/>
        <v>11958.699999999997</v>
      </c>
      <c r="E45" s="6">
        <f t="shared" si="0"/>
        <v>136.9791892142614</v>
      </c>
      <c r="F45" s="9">
        <f aca="true" t="shared" si="34" ref="F45:L45">F51+F53+F46</f>
        <v>31593</v>
      </c>
      <c r="G45" s="205">
        <f t="shared" si="34"/>
        <v>31593</v>
      </c>
      <c r="H45" s="205">
        <f t="shared" si="34"/>
        <v>31592.9</v>
      </c>
      <c r="I45" s="205">
        <f t="shared" si="34"/>
        <v>20161.199999999997</v>
      </c>
      <c r="J45" s="205">
        <f>J51+J53+J46</f>
        <v>17849.699999999997</v>
      </c>
      <c r="K45" s="9">
        <f t="shared" si="34"/>
        <v>44297.7</v>
      </c>
      <c r="L45" s="9" t="e">
        <f t="shared" si="34"/>
        <v>#REF!</v>
      </c>
      <c r="M45" s="9">
        <f t="shared" si="2"/>
        <v>140.213654923559</v>
      </c>
      <c r="N45" s="6">
        <f t="shared" si="10"/>
        <v>12704.699999999997</v>
      </c>
      <c r="O45" s="203">
        <f t="shared" si="18"/>
        <v>140.2140987373745</v>
      </c>
      <c r="P45" s="205">
        <f t="shared" si="19"/>
        <v>248.17055748836117</v>
      </c>
      <c r="Q45" s="203">
        <f t="shared" si="5"/>
        <v>12704.799999999996</v>
      </c>
      <c r="R45" s="203">
        <f t="shared" si="6"/>
        <v>26448</v>
      </c>
      <c r="S45" s="88">
        <f t="shared" si="21"/>
        <v>2.742329930191389</v>
      </c>
      <c r="T45" s="89">
        <f aca="true" t="shared" si="35" ref="T45:T80">K45-J45-R45</f>
        <v>0</v>
      </c>
      <c r="U45" s="89">
        <f t="shared" si="23"/>
        <v>0</v>
      </c>
      <c r="V45" s="89">
        <f t="shared" si="24"/>
        <v>0</v>
      </c>
      <c r="W45" s="248">
        <f t="shared" si="11"/>
        <v>0.09999999999854481</v>
      </c>
      <c r="X45" s="89">
        <f t="shared" si="12"/>
        <v>2311.5</v>
      </c>
    </row>
    <row r="46" spans="1:24" s="91" customFormat="1" ht="20.25">
      <c r="A46" s="26" t="s">
        <v>84</v>
      </c>
      <c r="B46" s="27" t="s">
        <v>85</v>
      </c>
      <c r="C46" s="3">
        <f>C47+C48+C49+C50</f>
        <v>11442.199999999999</v>
      </c>
      <c r="D46" s="25">
        <f t="shared" si="15"/>
        <v>10653.300000000001</v>
      </c>
      <c r="E46" s="25">
        <f t="shared" si="0"/>
        <v>193.10534687385294</v>
      </c>
      <c r="F46" s="3">
        <f aca="true" t="shared" si="36" ref="F46:L46">F47+F48+F49+F50</f>
        <v>14423</v>
      </c>
      <c r="G46" s="216">
        <f t="shared" si="36"/>
        <v>14423</v>
      </c>
      <c r="H46" s="216">
        <f t="shared" si="36"/>
        <v>14423</v>
      </c>
      <c r="I46" s="216">
        <f t="shared" si="36"/>
        <v>10764.8</v>
      </c>
      <c r="J46" s="216">
        <f t="shared" si="36"/>
        <v>9521.3</v>
      </c>
      <c r="K46" s="3">
        <f t="shared" si="36"/>
        <v>22095.5</v>
      </c>
      <c r="L46" s="3" t="e">
        <f t="shared" si="36"/>
        <v>#REF!</v>
      </c>
      <c r="M46" s="3">
        <f t="shared" si="2"/>
        <v>153.19628371351314</v>
      </c>
      <c r="N46" s="25">
        <f t="shared" si="10"/>
        <v>7672.5</v>
      </c>
      <c r="O46" s="263">
        <f t="shared" si="18"/>
        <v>153.19628371351314</v>
      </c>
      <c r="P46" s="216">
        <f t="shared" si="19"/>
        <v>232.06389883734366</v>
      </c>
      <c r="Q46" s="263">
        <f t="shared" si="5"/>
        <v>7672.5</v>
      </c>
      <c r="R46" s="263">
        <f t="shared" si="6"/>
        <v>12574.2</v>
      </c>
      <c r="S46" s="88">
        <f t="shared" si="21"/>
        <v>1.3678622360200157</v>
      </c>
      <c r="T46" s="89">
        <f t="shared" si="35"/>
        <v>0</v>
      </c>
      <c r="U46" s="89">
        <f t="shared" si="23"/>
        <v>0</v>
      </c>
      <c r="V46" s="89">
        <f t="shared" si="24"/>
        <v>0</v>
      </c>
      <c r="W46" s="248">
        <f t="shared" si="11"/>
        <v>0</v>
      </c>
      <c r="X46" s="89">
        <f t="shared" si="12"/>
        <v>1243.5</v>
      </c>
    </row>
    <row r="47" spans="1:24" s="91" customFormat="1" ht="30">
      <c r="A47" s="26" t="s">
        <v>294</v>
      </c>
      <c r="B47" s="27">
        <v>22010300</v>
      </c>
      <c r="C47" s="3">
        <v>671.3</v>
      </c>
      <c r="D47" s="25">
        <f t="shared" si="15"/>
        <v>188</v>
      </c>
      <c r="E47" s="25">
        <f t="shared" si="0"/>
        <v>128.0053627290332</v>
      </c>
      <c r="F47" s="3">
        <v>400</v>
      </c>
      <c r="G47" s="216">
        <f>ROUND(F47*$T$6,1)</f>
        <v>400</v>
      </c>
      <c r="H47" s="219">
        <f>ROUND((F47*$T$7+F47*$T$8),1)</f>
        <v>400</v>
      </c>
      <c r="I47" s="216">
        <v>305</v>
      </c>
      <c r="J47" s="216">
        <v>262</v>
      </c>
      <c r="K47" s="3">
        <v>859.3</v>
      </c>
      <c r="L47" s="3" t="e">
        <f>K47-#REF!</f>
        <v>#REF!</v>
      </c>
      <c r="M47" s="3">
        <f t="shared" si="2"/>
        <v>214.825</v>
      </c>
      <c r="N47" s="25">
        <f t="shared" si="10"/>
        <v>459.29999999999995</v>
      </c>
      <c r="O47" s="263">
        <f t="shared" si="18"/>
        <v>214.825</v>
      </c>
      <c r="P47" s="216">
        <f t="shared" si="19"/>
        <v>327.9770992366412</v>
      </c>
      <c r="Q47" s="263">
        <f t="shared" si="5"/>
        <v>459.29999999999995</v>
      </c>
      <c r="R47" s="263">
        <f t="shared" si="6"/>
        <v>597.3</v>
      </c>
      <c r="S47" s="88">
        <f t="shared" si="21"/>
        <v>0.05319653410929824</v>
      </c>
      <c r="T47" s="89">
        <f t="shared" si="35"/>
        <v>0</v>
      </c>
      <c r="U47" s="89">
        <f t="shared" si="23"/>
        <v>0</v>
      </c>
      <c r="V47" s="89">
        <f t="shared" si="24"/>
        <v>0</v>
      </c>
      <c r="W47" s="248">
        <f t="shared" si="11"/>
        <v>0</v>
      </c>
      <c r="X47" s="89">
        <f t="shared" si="12"/>
        <v>43</v>
      </c>
    </row>
    <row r="48" spans="1:24" s="148" customFormat="1" ht="20.25">
      <c r="A48" s="59" t="s">
        <v>142</v>
      </c>
      <c r="B48" s="33" t="s">
        <v>143</v>
      </c>
      <c r="C48" s="8">
        <v>9665.9</v>
      </c>
      <c r="D48" s="25">
        <f t="shared" si="15"/>
        <v>9546.500000000002</v>
      </c>
      <c r="E48" s="25">
        <f t="shared" si="0"/>
        <v>198.76472961648685</v>
      </c>
      <c r="F48" s="8">
        <v>13365</v>
      </c>
      <c r="G48" s="217">
        <f>ROUND(F48*$T$6,1)</f>
        <v>13365</v>
      </c>
      <c r="H48" s="220">
        <f>ROUND((F48*$T$7+F48*$T$8),1)</f>
        <v>13365</v>
      </c>
      <c r="I48" s="217">
        <v>9840.8</v>
      </c>
      <c r="J48" s="217">
        <v>8703.3</v>
      </c>
      <c r="K48" s="8">
        <v>19212.4</v>
      </c>
      <c r="L48" s="3" t="e">
        <f>K48-#REF!</f>
        <v>#REF!</v>
      </c>
      <c r="M48" s="8">
        <f>K48/F48*100</f>
        <v>143.7515899738122</v>
      </c>
      <c r="N48" s="25">
        <f t="shared" si="10"/>
        <v>5847.4000000000015</v>
      </c>
      <c r="O48" s="263">
        <f t="shared" si="18"/>
        <v>143.7515899738122</v>
      </c>
      <c r="P48" s="217">
        <f t="shared" si="19"/>
        <v>220.7484517366976</v>
      </c>
      <c r="Q48" s="263">
        <f t="shared" si="5"/>
        <v>5847.4000000000015</v>
      </c>
      <c r="R48" s="263">
        <f t="shared" si="6"/>
        <v>10509.100000000002</v>
      </c>
      <c r="S48" s="88">
        <f t="shared" si="21"/>
        <v>1.1893786709199134</v>
      </c>
      <c r="T48" s="89">
        <f t="shared" si="35"/>
        <v>0</v>
      </c>
      <c r="U48" s="89">
        <f t="shared" si="23"/>
        <v>0</v>
      </c>
      <c r="V48" s="89">
        <f t="shared" si="24"/>
        <v>0</v>
      </c>
      <c r="W48" s="248">
        <f t="shared" si="11"/>
        <v>0</v>
      </c>
      <c r="X48" s="89">
        <f t="shared" si="12"/>
        <v>1137.5</v>
      </c>
    </row>
    <row r="49" spans="1:24" s="148" customFormat="1" ht="30">
      <c r="A49" s="59" t="s">
        <v>163</v>
      </c>
      <c r="B49" s="33">
        <v>22012600</v>
      </c>
      <c r="C49" s="8">
        <v>1056</v>
      </c>
      <c r="D49" s="25">
        <f t="shared" si="15"/>
        <v>855.8</v>
      </c>
      <c r="E49" s="25">
        <f t="shared" si="0"/>
        <v>181.04166666666666</v>
      </c>
      <c r="F49" s="8">
        <v>650</v>
      </c>
      <c r="G49" s="217">
        <f>ROUND(F49*$T$6,1)</f>
        <v>650</v>
      </c>
      <c r="H49" s="220">
        <f>ROUND((F49*$T$7+F49*$T$8),1)</f>
        <v>650</v>
      </c>
      <c r="I49" s="217">
        <v>600</v>
      </c>
      <c r="J49" s="217">
        <v>539.5</v>
      </c>
      <c r="K49" s="8">
        <v>1911.8</v>
      </c>
      <c r="L49" s="3" t="e">
        <f>K49-#REF!</f>
        <v>#REF!</v>
      </c>
      <c r="M49" s="8">
        <f>K49/F49*100</f>
        <v>294.12307692307695</v>
      </c>
      <c r="N49" s="25">
        <f t="shared" si="10"/>
        <v>1261.8</v>
      </c>
      <c r="O49" s="263">
        <f t="shared" si="18"/>
        <v>294.12307692307695</v>
      </c>
      <c r="P49" s="217">
        <f t="shared" si="19"/>
        <v>354.3651529193698</v>
      </c>
      <c r="Q49" s="263">
        <f t="shared" si="5"/>
        <v>1261.8</v>
      </c>
      <c r="R49" s="263">
        <f t="shared" si="6"/>
        <v>1372.3</v>
      </c>
      <c r="S49" s="88">
        <f t="shared" si="21"/>
        <v>0.1183534666707278</v>
      </c>
      <c r="T49" s="89">
        <f t="shared" si="35"/>
        <v>0</v>
      </c>
      <c r="U49" s="89">
        <f t="shared" si="23"/>
        <v>0</v>
      </c>
      <c r="V49" s="89">
        <f t="shared" si="24"/>
        <v>0</v>
      </c>
      <c r="W49" s="248">
        <f t="shared" si="11"/>
        <v>0</v>
      </c>
      <c r="X49" s="89">
        <f t="shared" si="12"/>
        <v>60.5</v>
      </c>
    </row>
    <row r="50" spans="1:24" s="148" customFormat="1" ht="75">
      <c r="A50" s="59" t="s">
        <v>295</v>
      </c>
      <c r="B50" s="33">
        <v>22012900</v>
      </c>
      <c r="C50" s="8">
        <v>49</v>
      </c>
      <c r="D50" s="25">
        <f t="shared" si="15"/>
        <v>63</v>
      </c>
      <c r="E50" s="25">
        <f t="shared" si="0"/>
        <v>228.57142857142856</v>
      </c>
      <c r="F50" s="8">
        <v>8</v>
      </c>
      <c r="G50" s="217">
        <f>ROUND(F50*$T$6,1)</f>
        <v>8</v>
      </c>
      <c r="H50" s="219">
        <f>ROUND((F50*$T$7+F50*$T$8),1)</f>
        <v>8</v>
      </c>
      <c r="I50" s="217">
        <v>19</v>
      </c>
      <c r="J50" s="217">
        <v>16.5</v>
      </c>
      <c r="K50" s="8">
        <v>112</v>
      </c>
      <c r="L50" s="3" t="e">
        <f>K50-#REF!</f>
        <v>#REF!</v>
      </c>
      <c r="M50" s="8">
        <f>K50/F50*100</f>
        <v>1400</v>
      </c>
      <c r="N50" s="25">
        <f t="shared" si="10"/>
        <v>104</v>
      </c>
      <c r="O50" s="263">
        <f t="shared" si="18"/>
        <v>1400</v>
      </c>
      <c r="P50" s="217">
        <f t="shared" si="19"/>
        <v>678.7878787878788</v>
      </c>
      <c r="Q50" s="263">
        <f t="shared" si="5"/>
        <v>104</v>
      </c>
      <c r="R50" s="263">
        <f t="shared" si="6"/>
        <v>95.5</v>
      </c>
      <c r="S50" s="88">
        <f t="shared" si="21"/>
        <v>0.006933564320076113</v>
      </c>
      <c r="T50" s="89">
        <f t="shared" si="35"/>
        <v>0</v>
      </c>
      <c r="U50" s="89">
        <f t="shared" si="23"/>
        <v>0</v>
      </c>
      <c r="V50" s="89">
        <f t="shared" si="24"/>
        <v>0</v>
      </c>
      <c r="W50" s="248">
        <f t="shared" si="11"/>
        <v>0</v>
      </c>
      <c r="X50" s="89">
        <f t="shared" si="12"/>
        <v>2.5</v>
      </c>
    </row>
    <row r="51" spans="1:24" s="161" customFormat="1" ht="30">
      <c r="A51" s="29" t="s">
        <v>86</v>
      </c>
      <c r="B51" s="30">
        <v>22080000</v>
      </c>
      <c r="C51" s="3">
        <f>C52</f>
        <v>20434</v>
      </c>
      <c r="D51" s="25">
        <f t="shared" si="15"/>
        <v>1234.2999999999993</v>
      </c>
      <c r="E51" s="25">
        <f t="shared" si="0"/>
        <v>106.04042282470391</v>
      </c>
      <c r="F51" s="3">
        <f aca="true" t="shared" si="37" ref="F51:L51">F52</f>
        <v>17000</v>
      </c>
      <c r="G51" s="216">
        <f t="shared" si="37"/>
        <v>17000</v>
      </c>
      <c r="H51" s="216">
        <f t="shared" si="37"/>
        <v>17000</v>
      </c>
      <c r="I51" s="216">
        <f t="shared" si="37"/>
        <v>9200</v>
      </c>
      <c r="J51" s="216">
        <f t="shared" si="37"/>
        <v>8150</v>
      </c>
      <c r="K51" s="3">
        <f t="shared" si="37"/>
        <v>21668.3</v>
      </c>
      <c r="L51" s="3" t="e">
        <f t="shared" si="37"/>
        <v>#REF!</v>
      </c>
      <c r="M51" s="3">
        <f aca="true" t="shared" si="38" ref="M51:M125">K51/F51*100</f>
        <v>127.46058823529411</v>
      </c>
      <c r="N51" s="25">
        <f t="shared" si="10"/>
        <v>4668.299999999999</v>
      </c>
      <c r="O51" s="263">
        <f t="shared" si="18"/>
        <v>127.46058823529411</v>
      </c>
      <c r="P51" s="216">
        <f t="shared" si="19"/>
        <v>265.86871165644175</v>
      </c>
      <c r="Q51" s="263">
        <f t="shared" si="5"/>
        <v>4668.299999999999</v>
      </c>
      <c r="R51" s="263">
        <f t="shared" si="6"/>
        <v>13518.3</v>
      </c>
      <c r="S51" s="88">
        <f t="shared" si="21"/>
        <v>1.341415640684868</v>
      </c>
      <c r="T51" s="89">
        <f t="shared" si="35"/>
        <v>0</v>
      </c>
      <c r="U51" s="89">
        <f t="shared" si="23"/>
        <v>0</v>
      </c>
      <c r="V51" s="89">
        <f t="shared" si="24"/>
        <v>0</v>
      </c>
      <c r="W51" s="248">
        <f t="shared" si="11"/>
        <v>0</v>
      </c>
      <c r="X51" s="89">
        <f t="shared" si="12"/>
        <v>1050</v>
      </c>
    </row>
    <row r="52" spans="1:24" s="94" customFormat="1" ht="45">
      <c r="A52" s="309" t="s">
        <v>87</v>
      </c>
      <c r="B52" s="33">
        <v>22080401</v>
      </c>
      <c r="C52" s="3">
        <v>20434</v>
      </c>
      <c r="D52" s="25">
        <f t="shared" si="15"/>
        <v>1234.2999999999993</v>
      </c>
      <c r="E52" s="25">
        <f t="shared" si="0"/>
        <v>106.04042282470391</v>
      </c>
      <c r="F52" s="8">
        <v>17000</v>
      </c>
      <c r="G52" s="216">
        <f>ROUND(F52*$T$6,1)</f>
        <v>17000</v>
      </c>
      <c r="H52" s="220">
        <f>ROUND((F52*$T$7+F52*$T$8),1)</f>
        <v>17000</v>
      </c>
      <c r="I52" s="217">
        <v>9200</v>
      </c>
      <c r="J52" s="217">
        <v>8150</v>
      </c>
      <c r="K52" s="8">
        <v>21668.3</v>
      </c>
      <c r="L52" s="3" t="e">
        <f>K52-#REF!</f>
        <v>#REF!</v>
      </c>
      <c r="M52" s="36">
        <f t="shared" si="38"/>
        <v>127.46058823529411</v>
      </c>
      <c r="N52" s="25">
        <f t="shared" si="10"/>
        <v>4668.299999999999</v>
      </c>
      <c r="O52" s="263">
        <f t="shared" si="18"/>
        <v>127.46058823529411</v>
      </c>
      <c r="P52" s="266">
        <f t="shared" si="19"/>
        <v>265.86871165644175</v>
      </c>
      <c r="Q52" s="263">
        <f t="shared" si="5"/>
        <v>4668.299999999999</v>
      </c>
      <c r="R52" s="263">
        <f t="shared" si="6"/>
        <v>13518.3</v>
      </c>
      <c r="S52" s="88">
        <f t="shared" si="21"/>
        <v>1.341415640684868</v>
      </c>
      <c r="T52" s="89">
        <f t="shared" si="35"/>
        <v>0</v>
      </c>
      <c r="U52" s="89">
        <f t="shared" si="23"/>
        <v>0</v>
      </c>
      <c r="V52" s="89">
        <f t="shared" si="24"/>
        <v>0</v>
      </c>
      <c r="W52" s="248">
        <f t="shared" si="11"/>
        <v>0</v>
      </c>
      <c r="X52" s="89">
        <f t="shared" si="12"/>
        <v>1050</v>
      </c>
    </row>
    <row r="53" spans="1:24" s="91" customFormat="1" ht="20.25">
      <c r="A53" s="154" t="s">
        <v>88</v>
      </c>
      <c r="B53" s="30">
        <v>22090000</v>
      </c>
      <c r="C53" s="3">
        <v>462.8</v>
      </c>
      <c r="D53" s="25">
        <f t="shared" si="15"/>
        <v>71.09999999999997</v>
      </c>
      <c r="E53" s="25">
        <f t="shared" si="0"/>
        <v>115.36300777873811</v>
      </c>
      <c r="F53" s="3">
        <v>170</v>
      </c>
      <c r="G53" s="216">
        <f>ROUND(F53*$T$6,1)</f>
        <v>170</v>
      </c>
      <c r="H53" s="219">
        <f>ROUND((F53*$T$7+F53*$T$8),1)-0.1</f>
        <v>169.9</v>
      </c>
      <c r="I53" s="216">
        <v>196.4</v>
      </c>
      <c r="J53" s="216">
        <v>178.4</v>
      </c>
      <c r="K53" s="3">
        <v>533.9</v>
      </c>
      <c r="L53" s="3" t="e">
        <f>K53-#REF!</f>
        <v>#REF!</v>
      </c>
      <c r="M53" s="25">
        <f t="shared" si="38"/>
        <v>314.05882352941177</v>
      </c>
      <c r="N53" s="25">
        <f t="shared" si="10"/>
        <v>363.9</v>
      </c>
      <c r="O53" s="263">
        <f t="shared" si="18"/>
        <v>314.24367274867564</v>
      </c>
      <c r="P53" s="263">
        <f t="shared" si="19"/>
        <v>299.27130044843045</v>
      </c>
      <c r="Q53" s="263">
        <f t="shared" si="5"/>
        <v>364</v>
      </c>
      <c r="R53" s="263">
        <f t="shared" si="6"/>
        <v>355.5</v>
      </c>
      <c r="S53" s="88">
        <f t="shared" si="21"/>
        <v>0.03305205348650568</v>
      </c>
      <c r="T53" s="89">
        <f t="shared" si="35"/>
        <v>0</v>
      </c>
      <c r="U53" s="89">
        <f t="shared" si="23"/>
        <v>0</v>
      </c>
      <c r="V53" s="89">
        <f t="shared" si="24"/>
        <v>0</v>
      </c>
      <c r="W53" s="248">
        <f t="shared" si="11"/>
        <v>0.09999999999999432</v>
      </c>
      <c r="X53" s="89">
        <f t="shared" si="12"/>
        <v>18</v>
      </c>
    </row>
    <row r="54" spans="1:24" s="150" customFormat="1" ht="20.25">
      <c r="A54" s="61" t="s">
        <v>89</v>
      </c>
      <c r="B54" s="55">
        <v>24000000</v>
      </c>
      <c r="C54" s="9">
        <f>SUM(C55:C60)</f>
        <v>3148.3</v>
      </c>
      <c r="D54" s="6">
        <f t="shared" si="15"/>
        <v>774.9999999999995</v>
      </c>
      <c r="E54" s="6">
        <f t="shared" si="0"/>
        <v>124.61645967665088</v>
      </c>
      <c r="F54" s="9">
        <f aca="true" t="shared" si="39" ref="F54:K54">SUM(F55:F60)</f>
        <v>2274.2000000000003</v>
      </c>
      <c r="G54" s="205">
        <f t="shared" si="39"/>
        <v>2274.2000000000003</v>
      </c>
      <c r="H54" s="205">
        <f t="shared" si="39"/>
        <v>2274.1000000000004</v>
      </c>
      <c r="I54" s="205">
        <f t="shared" si="39"/>
        <v>1123.1</v>
      </c>
      <c r="J54" s="205">
        <f>SUM(J55:J60)</f>
        <v>1029.8</v>
      </c>
      <c r="K54" s="9">
        <f t="shared" si="39"/>
        <v>3923.2999999999997</v>
      </c>
      <c r="L54" s="9" t="e">
        <f>L55+L56+L58+L59</f>
        <v>#REF!</v>
      </c>
      <c r="M54" s="9">
        <f t="shared" si="38"/>
        <v>172.51341130947142</v>
      </c>
      <c r="N54" s="6">
        <f t="shared" si="10"/>
        <v>1649.0999999999995</v>
      </c>
      <c r="O54" s="203">
        <f t="shared" si="18"/>
        <v>172.52099731762013</v>
      </c>
      <c r="P54" s="205">
        <f t="shared" si="19"/>
        <v>380.9768887162556</v>
      </c>
      <c r="Q54" s="203">
        <f t="shared" si="5"/>
        <v>1649.1999999999994</v>
      </c>
      <c r="R54" s="203">
        <f t="shared" si="6"/>
        <v>2893.5</v>
      </c>
      <c r="S54" s="88">
        <f t="shared" si="21"/>
        <v>0.24287904372280902</v>
      </c>
      <c r="T54" s="89">
        <f t="shared" si="35"/>
        <v>0</v>
      </c>
      <c r="U54" s="89">
        <f t="shared" si="23"/>
        <v>0</v>
      </c>
      <c r="V54" s="89">
        <f t="shared" si="24"/>
        <v>0</v>
      </c>
      <c r="W54" s="248">
        <f t="shared" si="11"/>
        <v>0.09999999999990905</v>
      </c>
      <c r="X54" s="89">
        <f t="shared" si="12"/>
        <v>93.29999999999995</v>
      </c>
    </row>
    <row r="55" spans="1:24" s="91" customFormat="1" ht="45">
      <c r="A55" s="162" t="s">
        <v>90</v>
      </c>
      <c r="B55" s="27">
        <v>24030000</v>
      </c>
      <c r="C55" s="3">
        <v>0.4</v>
      </c>
      <c r="D55" s="25">
        <f t="shared" si="15"/>
        <v>4.3</v>
      </c>
      <c r="E55" s="25">
        <f t="shared" si="0"/>
        <v>1175</v>
      </c>
      <c r="F55" s="3">
        <v>2.3</v>
      </c>
      <c r="G55" s="216">
        <f>ROUND(F55*$T$6,1)</f>
        <v>2.3</v>
      </c>
      <c r="H55" s="219">
        <f>ROUND((F55*$T$7+F55*$T$8),1)</f>
        <v>2.3</v>
      </c>
      <c r="I55" s="216">
        <v>0</v>
      </c>
      <c r="J55" s="216">
        <v>0</v>
      </c>
      <c r="K55" s="3">
        <v>4.7</v>
      </c>
      <c r="L55" s="3" t="e">
        <f>K55-#REF!</f>
        <v>#REF!</v>
      </c>
      <c r="M55" s="25">
        <f t="shared" si="38"/>
        <v>204.34782608695653</v>
      </c>
      <c r="N55" s="25">
        <f t="shared" si="10"/>
        <v>2.4000000000000004</v>
      </c>
      <c r="O55" s="263">
        <f t="shared" si="18"/>
        <v>204.34782608695653</v>
      </c>
      <c r="P55" s="263" t="e">
        <f t="shared" si="19"/>
        <v>#DIV/0!</v>
      </c>
      <c r="Q55" s="263">
        <f t="shared" si="5"/>
        <v>2.4000000000000004</v>
      </c>
      <c r="R55" s="263">
        <f t="shared" si="6"/>
        <v>4.7</v>
      </c>
      <c r="S55" s="88">
        <f t="shared" si="21"/>
        <v>0.0002909620741460512</v>
      </c>
      <c r="T55" s="89">
        <f t="shared" si="35"/>
        <v>0</v>
      </c>
      <c r="U55" s="89">
        <f t="shared" si="23"/>
        <v>0</v>
      </c>
      <c r="V55" s="89">
        <f t="shared" si="24"/>
        <v>0</v>
      </c>
      <c r="W55" s="248">
        <f t="shared" si="11"/>
        <v>0</v>
      </c>
      <c r="X55" s="89">
        <f t="shared" si="12"/>
        <v>0</v>
      </c>
    </row>
    <row r="56" spans="1:24" s="163" customFormat="1" ht="20.25">
      <c r="A56" s="162" t="s">
        <v>80</v>
      </c>
      <c r="B56" s="27">
        <v>24060300</v>
      </c>
      <c r="C56" s="3">
        <v>3033</v>
      </c>
      <c r="D56" s="25">
        <f t="shared" si="15"/>
        <v>836.4000000000001</v>
      </c>
      <c r="E56" s="25">
        <f t="shared" si="0"/>
        <v>127.57665677546983</v>
      </c>
      <c r="F56" s="3">
        <v>2271.9</v>
      </c>
      <c r="G56" s="216">
        <f>ROUND(F56*$T$6,1)</f>
        <v>2271.9</v>
      </c>
      <c r="H56" s="219">
        <f>ROUND((F56*$T$7+F56*$T$8),1)-0.1</f>
        <v>2271.8</v>
      </c>
      <c r="I56" s="216">
        <v>1123.1</v>
      </c>
      <c r="J56" s="216">
        <v>1029.8</v>
      </c>
      <c r="K56" s="3">
        <v>3869.4</v>
      </c>
      <c r="L56" s="3" t="e">
        <f>K56-#REF!</f>
        <v>#REF!</v>
      </c>
      <c r="M56" s="25">
        <f t="shared" si="38"/>
        <v>170.31559487653504</v>
      </c>
      <c r="N56" s="25">
        <f t="shared" si="10"/>
        <v>1597.5</v>
      </c>
      <c r="O56" s="263">
        <f t="shared" si="18"/>
        <v>170.32309182146315</v>
      </c>
      <c r="P56" s="263">
        <f t="shared" si="19"/>
        <v>375.7428626917848</v>
      </c>
      <c r="Q56" s="263">
        <f t="shared" si="5"/>
        <v>1597.6</v>
      </c>
      <c r="R56" s="263">
        <f t="shared" si="6"/>
        <v>2839.6000000000004</v>
      </c>
      <c r="S56" s="88">
        <f t="shared" si="21"/>
        <v>0.23954226589377242</v>
      </c>
      <c r="T56" s="89">
        <f t="shared" si="35"/>
        <v>0</v>
      </c>
      <c r="U56" s="89">
        <f t="shared" si="23"/>
        <v>0</v>
      </c>
      <c r="V56" s="89">
        <f t="shared" si="24"/>
        <v>0</v>
      </c>
      <c r="W56" s="248">
        <f t="shared" si="11"/>
        <v>0.09999999999990905</v>
      </c>
      <c r="X56" s="89">
        <f t="shared" si="12"/>
        <v>93.29999999999995</v>
      </c>
    </row>
    <row r="57" spans="1:24" s="163" customFormat="1" ht="20.25" hidden="1">
      <c r="A57" s="162" t="s">
        <v>118</v>
      </c>
      <c r="B57" s="27">
        <v>24060600</v>
      </c>
      <c r="C57" s="3"/>
      <c r="D57" s="25">
        <f t="shared" si="15"/>
        <v>0</v>
      </c>
      <c r="E57" s="14" t="e">
        <f t="shared" si="0"/>
        <v>#DIV/0!</v>
      </c>
      <c r="F57" s="3"/>
      <c r="G57" s="216"/>
      <c r="H57" s="216">
        <f>F57*$T$7+F57*$T$8</f>
        <v>0</v>
      </c>
      <c r="I57" s="216"/>
      <c r="J57" s="216"/>
      <c r="K57" s="3"/>
      <c r="L57" s="3" t="e">
        <f>K57-#REF!</f>
        <v>#REF!</v>
      </c>
      <c r="M57" s="14" t="e">
        <f t="shared" si="38"/>
        <v>#DIV/0!</v>
      </c>
      <c r="N57" s="25">
        <f t="shared" si="10"/>
        <v>0</v>
      </c>
      <c r="O57" s="264" t="e">
        <f t="shared" si="18"/>
        <v>#DIV/0!</v>
      </c>
      <c r="P57" s="264" t="e">
        <f t="shared" si="19"/>
        <v>#DIV/0!</v>
      </c>
      <c r="Q57" s="263">
        <f t="shared" si="5"/>
        <v>0</v>
      </c>
      <c r="R57" s="263">
        <f t="shared" si="6"/>
        <v>0</v>
      </c>
      <c r="S57" s="88">
        <f t="shared" si="21"/>
        <v>0</v>
      </c>
      <c r="T57" s="89">
        <f t="shared" si="35"/>
        <v>0</v>
      </c>
      <c r="U57" s="89" t="e">
        <f t="shared" si="23"/>
        <v>#DIV/0!</v>
      </c>
      <c r="V57" s="89" t="e">
        <f t="shared" si="24"/>
        <v>#DIV/0!</v>
      </c>
      <c r="W57" s="248">
        <f t="shared" si="11"/>
        <v>0</v>
      </c>
      <c r="X57" s="89">
        <f t="shared" si="12"/>
        <v>0</v>
      </c>
    </row>
    <row r="58" spans="1:24" s="163" customFormat="1" ht="20.25">
      <c r="A58" s="162" t="s">
        <v>160</v>
      </c>
      <c r="B58" s="27">
        <v>24060600</v>
      </c>
      <c r="C58" s="3">
        <v>0.6</v>
      </c>
      <c r="D58" s="25">
        <f t="shared" si="15"/>
        <v>-0.6</v>
      </c>
      <c r="E58" s="25">
        <f t="shared" si="0"/>
        <v>0</v>
      </c>
      <c r="F58" s="3"/>
      <c r="G58" s="216"/>
      <c r="H58" s="216">
        <f>F58*$T$7+F58*$T$8</f>
        <v>0</v>
      </c>
      <c r="I58" s="216"/>
      <c r="J58" s="216"/>
      <c r="K58" s="3">
        <v>0</v>
      </c>
      <c r="L58" s="121" t="e">
        <f>K58-#REF!</f>
        <v>#REF!</v>
      </c>
      <c r="M58" s="14" t="e">
        <f t="shared" si="38"/>
        <v>#DIV/0!</v>
      </c>
      <c r="N58" s="25">
        <f t="shared" si="10"/>
        <v>0</v>
      </c>
      <c r="O58" s="264" t="e">
        <f t="shared" si="18"/>
        <v>#DIV/0!</v>
      </c>
      <c r="P58" s="264" t="e">
        <f t="shared" si="19"/>
        <v>#DIV/0!</v>
      </c>
      <c r="Q58" s="263">
        <f t="shared" si="5"/>
        <v>0</v>
      </c>
      <c r="R58" s="263">
        <f t="shared" si="6"/>
        <v>0</v>
      </c>
      <c r="S58" s="88">
        <f t="shared" si="21"/>
        <v>0</v>
      </c>
      <c r="T58" s="89">
        <f t="shared" si="35"/>
        <v>0</v>
      </c>
      <c r="U58" s="89" t="e">
        <f t="shared" si="23"/>
        <v>#DIV/0!</v>
      </c>
      <c r="V58" s="89" t="e">
        <f t="shared" si="24"/>
        <v>#DIV/0!</v>
      </c>
      <c r="W58" s="248">
        <f t="shared" si="11"/>
        <v>0</v>
      </c>
      <c r="X58" s="89">
        <f t="shared" si="12"/>
        <v>0</v>
      </c>
    </row>
    <row r="59" spans="1:24" s="163" customFormat="1" ht="105">
      <c r="A59" s="162" t="s">
        <v>223</v>
      </c>
      <c r="B59" s="27">
        <v>24062200</v>
      </c>
      <c r="C59" s="3">
        <v>114.3</v>
      </c>
      <c r="D59" s="25">
        <f t="shared" si="15"/>
        <v>-65.1</v>
      </c>
      <c r="E59" s="25">
        <f t="shared" si="0"/>
        <v>43.04461942257218</v>
      </c>
      <c r="F59" s="3"/>
      <c r="G59" s="216"/>
      <c r="H59" s="216">
        <f>F59*$T$7+F59*$T$8</f>
        <v>0</v>
      </c>
      <c r="I59" s="216"/>
      <c r="J59" s="216"/>
      <c r="K59" s="3">
        <v>49.2</v>
      </c>
      <c r="L59" s="3" t="e">
        <f>K59-#REF!</f>
        <v>#REF!</v>
      </c>
      <c r="M59" s="14" t="e">
        <f t="shared" si="38"/>
        <v>#DIV/0!</v>
      </c>
      <c r="N59" s="25">
        <f t="shared" si="10"/>
        <v>49.2</v>
      </c>
      <c r="O59" s="264" t="e">
        <f t="shared" si="18"/>
        <v>#DIV/0!</v>
      </c>
      <c r="P59" s="264" t="e">
        <f t="shared" si="19"/>
        <v>#DIV/0!</v>
      </c>
      <c r="Q59" s="263">
        <f t="shared" si="5"/>
        <v>49.2</v>
      </c>
      <c r="R59" s="263">
        <f t="shared" si="6"/>
        <v>49.2</v>
      </c>
      <c r="S59" s="88">
        <f t="shared" si="21"/>
        <v>0.0030458157548905783</v>
      </c>
      <c r="T59" s="89">
        <f t="shared" si="35"/>
        <v>0</v>
      </c>
      <c r="U59" s="89" t="e">
        <f t="shared" si="23"/>
        <v>#DIV/0!</v>
      </c>
      <c r="V59" s="89" t="e">
        <f t="shared" si="24"/>
        <v>#DIV/0!</v>
      </c>
      <c r="W59" s="248">
        <f t="shared" si="11"/>
        <v>0</v>
      </c>
      <c r="X59" s="89">
        <f t="shared" si="12"/>
        <v>0</v>
      </c>
    </row>
    <row r="60" spans="1:24" s="164" customFormat="1" ht="20.25" hidden="1">
      <c r="A60" s="162" t="s">
        <v>91</v>
      </c>
      <c r="B60" s="27">
        <v>24060600</v>
      </c>
      <c r="C60" s="3"/>
      <c r="D60" s="6">
        <f t="shared" si="15"/>
        <v>0</v>
      </c>
      <c r="E60" s="6" t="e">
        <f t="shared" si="0"/>
        <v>#DIV/0!</v>
      </c>
      <c r="F60" s="3"/>
      <c r="G60" s="216"/>
      <c r="H60" s="216"/>
      <c r="I60" s="216"/>
      <c r="J60" s="216"/>
      <c r="K60" s="3">
        <f>J60*19/19</f>
        <v>0</v>
      </c>
      <c r="L60" s="3" t="e">
        <f>K60-#REF!</f>
        <v>#REF!</v>
      </c>
      <c r="M60" s="25" t="e">
        <f t="shared" si="38"/>
        <v>#DIV/0!</v>
      </c>
      <c r="N60" s="6">
        <f t="shared" si="10"/>
        <v>0</v>
      </c>
      <c r="O60" s="203" t="e">
        <f t="shared" si="18"/>
        <v>#DIV/0!</v>
      </c>
      <c r="P60" s="263" t="e">
        <f t="shared" si="19"/>
        <v>#DIV/0!</v>
      </c>
      <c r="Q60" s="203">
        <f t="shared" si="5"/>
        <v>0</v>
      </c>
      <c r="R60" s="203">
        <f t="shared" si="6"/>
        <v>0</v>
      </c>
      <c r="S60" s="88">
        <f t="shared" si="21"/>
        <v>0</v>
      </c>
      <c r="T60" s="89">
        <f t="shared" si="35"/>
        <v>0</v>
      </c>
      <c r="U60" s="89" t="e">
        <f t="shared" si="23"/>
        <v>#DIV/0!</v>
      </c>
      <c r="V60" s="89" t="e">
        <f t="shared" si="24"/>
        <v>#DIV/0!</v>
      </c>
      <c r="W60" s="248">
        <f t="shared" si="11"/>
        <v>0</v>
      </c>
      <c r="X60" s="89">
        <f t="shared" si="12"/>
        <v>0</v>
      </c>
    </row>
    <row r="61" spans="1:24" s="165" customFormat="1" ht="20.25">
      <c r="A61" s="66" t="s">
        <v>92</v>
      </c>
      <c r="B61" s="67">
        <v>30000000</v>
      </c>
      <c r="C61" s="9">
        <f>C62</f>
        <v>8.1</v>
      </c>
      <c r="D61" s="6">
        <f t="shared" si="15"/>
        <v>-4.199999999999999</v>
      </c>
      <c r="E61" s="6">
        <f t="shared" si="0"/>
        <v>48.14814814814815</v>
      </c>
      <c r="F61" s="9">
        <f aca="true" t="shared" si="40" ref="F61:L61">F62</f>
        <v>69</v>
      </c>
      <c r="G61" s="205">
        <f t="shared" si="40"/>
        <v>69</v>
      </c>
      <c r="H61" s="205">
        <f t="shared" si="40"/>
        <v>69</v>
      </c>
      <c r="I61" s="205">
        <f t="shared" si="40"/>
        <v>2.3</v>
      </c>
      <c r="J61" s="205">
        <f t="shared" si="40"/>
        <v>2.3</v>
      </c>
      <c r="K61" s="9">
        <f t="shared" si="40"/>
        <v>3.9</v>
      </c>
      <c r="L61" s="9" t="e">
        <f t="shared" si="40"/>
        <v>#REF!</v>
      </c>
      <c r="M61" s="6">
        <f t="shared" si="38"/>
        <v>5.6521739130434785</v>
      </c>
      <c r="N61" s="6">
        <f t="shared" si="10"/>
        <v>-65.1</v>
      </c>
      <c r="O61" s="203">
        <f t="shared" si="18"/>
        <v>5.6521739130434785</v>
      </c>
      <c r="P61" s="203">
        <f t="shared" si="19"/>
        <v>169.56521739130437</v>
      </c>
      <c r="Q61" s="203">
        <f t="shared" si="5"/>
        <v>-65.1</v>
      </c>
      <c r="R61" s="203">
        <f t="shared" si="6"/>
        <v>1.6</v>
      </c>
      <c r="S61" s="88">
        <f t="shared" si="21"/>
        <v>0.00024143661471693606</v>
      </c>
      <c r="T61" s="89">
        <f t="shared" si="35"/>
        <v>0</v>
      </c>
      <c r="U61" s="89">
        <f t="shared" si="23"/>
        <v>0</v>
      </c>
      <c r="V61" s="89">
        <f t="shared" si="24"/>
        <v>0</v>
      </c>
      <c r="W61" s="248">
        <f t="shared" si="11"/>
        <v>0</v>
      </c>
      <c r="X61" s="89">
        <f t="shared" si="12"/>
        <v>0</v>
      </c>
    </row>
    <row r="62" spans="1:24" s="165" customFormat="1" ht="20.25">
      <c r="A62" s="166" t="s">
        <v>93</v>
      </c>
      <c r="B62" s="167">
        <v>31000000</v>
      </c>
      <c r="C62" s="9">
        <f>C65+C64</f>
        <v>8.1</v>
      </c>
      <c r="D62" s="6">
        <f t="shared" si="15"/>
        <v>-4.199999999999999</v>
      </c>
      <c r="E62" s="6">
        <f t="shared" si="0"/>
        <v>48.14814814814815</v>
      </c>
      <c r="F62" s="9">
        <f aca="true" t="shared" si="41" ref="F62:K62">F65+F64</f>
        <v>69</v>
      </c>
      <c r="G62" s="205">
        <f t="shared" si="41"/>
        <v>69</v>
      </c>
      <c r="H62" s="205">
        <f t="shared" si="41"/>
        <v>69</v>
      </c>
      <c r="I62" s="205">
        <f t="shared" si="41"/>
        <v>2.3</v>
      </c>
      <c r="J62" s="205">
        <f>J65+J64</f>
        <v>2.3</v>
      </c>
      <c r="K62" s="9">
        <f t="shared" si="41"/>
        <v>3.9</v>
      </c>
      <c r="L62" s="9" t="e">
        <f>L65+L64</f>
        <v>#REF!</v>
      </c>
      <c r="M62" s="6">
        <f t="shared" si="38"/>
        <v>5.6521739130434785</v>
      </c>
      <c r="N62" s="6">
        <f t="shared" si="10"/>
        <v>-65.1</v>
      </c>
      <c r="O62" s="203">
        <f t="shared" si="18"/>
        <v>5.6521739130434785</v>
      </c>
      <c r="P62" s="203">
        <f t="shared" si="19"/>
        <v>169.56521739130437</v>
      </c>
      <c r="Q62" s="203">
        <f t="shared" si="5"/>
        <v>-65.1</v>
      </c>
      <c r="R62" s="203">
        <f t="shared" si="6"/>
        <v>1.6</v>
      </c>
      <c r="S62" s="88">
        <f t="shared" si="21"/>
        <v>0.00024143661471693606</v>
      </c>
      <c r="T62" s="89">
        <f t="shared" si="35"/>
        <v>0</v>
      </c>
      <c r="U62" s="89">
        <f t="shared" si="23"/>
        <v>0</v>
      </c>
      <c r="V62" s="89">
        <f t="shared" si="24"/>
        <v>0</v>
      </c>
      <c r="W62" s="248">
        <f t="shared" si="11"/>
        <v>0</v>
      </c>
      <c r="X62" s="89">
        <f t="shared" si="12"/>
        <v>0</v>
      </c>
    </row>
    <row r="63" spans="1:24" s="164" customFormat="1" ht="60">
      <c r="A63" s="168" t="s">
        <v>94</v>
      </c>
      <c r="B63" s="27">
        <v>31010000</v>
      </c>
      <c r="C63" s="3">
        <f>C64</f>
        <v>0.9</v>
      </c>
      <c r="D63" s="25">
        <f t="shared" si="15"/>
        <v>-0.9</v>
      </c>
      <c r="E63" s="25">
        <f t="shared" si="0"/>
        <v>0</v>
      </c>
      <c r="F63" s="3">
        <f aca="true" t="shared" si="42" ref="F63:L63">F64</f>
        <v>65</v>
      </c>
      <c r="G63" s="216">
        <f t="shared" si="42"/>
        <v>65</v>
      </c>
      <c r="H63" s="216">
        <f t="shared" si="42"/>
        <v>65</v>
      </c>
      <c r="I63" s="216">
        <f t="shared" si="42"/>
        <v>0</v>
      </c>
      <c r="J63" s="216">
        <f t="shared" si="42"/>
        <v>0</v>
      </c>
      <c r="K63" s="3">
        <f t="shared" si="42"/>
        <v>0</v>
      </c>
      <c r="L63" s="121" t="e">
        <f t="shared" si="42"/>
        <v>#REF!</v>
      </c>
      <c r="M63" s="25">
        <f t="shared" si="38"/>
        <v>0</v>
      </c>
      <c r="N63" s="25">
        <f t="shared" si="10"/>
        <v>-65</v>
      </c>
      <c r="O63" s="263">
        <f t="shared" si="18"/>
        <v>0</v>
      </c>
      <c r="P63" s="263" t="e">
        <f t="shared" si="19"/>
        <v>#DIV/0!</v>
      </c>
      <c r="Q63" s="263">
        <f t="shared" si="5"/>
        <v>-65</v>
      </c>
      <c r="R63" s="263">
        <f t="shared" si="6"/>
        <v>0</v>
      </c>
      <c r="S63" s="88">
        <f t="shared" si="21"/>
        <v>0</v>
      </c>
      <c r="T63" s="89">
        <f t="shared" si="35"/>
        <v>0</v>
      </c>
      <c r="U63" s="89">
        <f t="shared" si="23"/>
        <v>0</v>
      </c>
      <c r="V63" s="89">
        <f t="shared" si="24"/>
        <v>0</v>
      </c>
      <c r="W63" s="248">
        <f t="shared" si="11"/>
        <v>0</v>
      </c>
      <c r="X63" s="89">
        <f t="shared" si="12"/>
        <v>0</v>
      </c>
    </row>
    <row r="64" spans="1:24" s="171" customFormat="1" ht="60">
      <c r="A64" s="169" t="s">
        <v>95</v>
      </c>
      <c r="B64" s="170">
        <v>31010200</v>
      </c>
      <c r="C64" s="8">
        <v>0.9</v>
      </c>
      <c r="D64" s="25">
        <f t="shared" si="15"/>
        <v>-0.9</v>
      </c>
      <c r="E64" s="25">
        <f t="shared" si="0"/>
        <v>0</v>
      </c>
      <c r="F64" s="8">
        <v>65</v>
      </c>
      <c r="G64" s="217">
        <f>ROUND(F64*$T$6,1)</f>
        <v>65</v>
      </c>
      <c r="H64" s="219">
        <f>ROUND((F64*$T$7+F64*$T$8),1)</f>
        <v>65</v>
      </c>
      <c r="I64" s="217">
        <v>0</v>
      </c>
      <c r="J64" s="217">
        <v>0</v>
      </c>
      <c r="K64" s="8">
        <v>0</v>
      </c>
      <c r="L64" s="121" t="e">
        <f>K64-#REF!</f>
        <v>#REF!</v>
      </c>
      <c r="M64" s="36">
        <f t="shared" si="38"/>
        <v>0</v>
      </c>
      <c r="N64" s="25">
        <f t="shared" si="10"/>
        <v>-65</v>
      </c>
      <c r="O64" s="263">
        <f t="shared" si="18"/>
        <v>0</v>
      </c>
      <c r="P64" s="266" t="e">
        <f t="shared" si="19"/>
        <v>#DIV/0!</v>
      </c>
      <c r="Q64" s="263">
        <f t="shared" si="5"/>
        <v>-65</v>
      </c>
      <c r="R64" s="263">
        <f t="shared" si="6"/>
        <v>0</v>
      </c>
      <c r="S64" s="88">
        <f t="shared" si="21"/>
        <v>0</v>
      </c>
      <c r="T64" s="89">
        <f t="shared" si="35"/>
        <v>0</v>
      </c>
      <c r="U64" s="89">
        <f t="shared" si="23"/>
        <v>0</v>
      </c>
      <c r="V64" s="89">
        <f t="shared" si="24"/>
        <v>0</v>
      </c>
      <c r="W64" s="248">
        <f t="shared" si="11"/>
        <v>0</v>
      </c>
      <c r="X64" s="89">
        <f t="shared" si="12"/>
        <v>0</v>
      </c>
    </row>
    <row r="65" spans="1:24" s="164" customFormat="1" ht="30">
      <c r="A65" s="168" t="s">
        <v>96</v>
      </c>
      <c r="B65" s="172">
        <v>31020000</v>
      </c>
      <c r="C65" s="3">
        <v>7.2</v>
      </c>
      <c r="D65" s="25">
        <f t="shared" si="15"/>
        <v>-3.3000000000000003</v>
      </c>
      <c r="E65" s="25">
        <f t="shared" si="0"/>
        <v>54.166666666666664</v>
      </c>
      <c r="F65" s="3">
        <v>4</v>
      </c>
      <c r="G65" s="216">
        <f>ROUND(F65*$T$6,1)</f>
        <v>4</v>
      </c>
      <c r="H65" s="219">
        <f>ROUND((F65*$T$7+F65*$T$8),1)</f>
        <v>4</v>
      </c>
      <c r="I65" s="216">
        <v>2.3</v>
      </c>
      <c r="J65" s="216">
        <v>2.3</v>
      </c>
      <c r="K65" s="3">
        <v>3.9</v>
      </c>
      <c r="L65" s="3" t="e">
        <f>K65-#REF!</f>
        <v>#REF!</v>
      </c>
      <c r="M65" s="25">
        <f t="shared" si="38"/>
        <v>97.5</v>
      </c>
      <c r="N65" s="25">
        <f t="shared" si="10"/>
        <v>-0.10000000000000009</v>
      </c>
      <c r="O65" s="263">
        <f t="shared" si="18"/>
        <v>97.5</v>
      </c>
      <c r="P65" s="263">
        <f t="shared" si="19"/>
        <v>169.56521739130437</v>
      </c>
      <c r="Q65" s="216">
        <f t="shared" si="5"/>
        <v>-0.10000000000000009</v>
      </c>
      <c r="R65" s="216">
        <f t="shared" si="6"/>
        <v>1.6</v>
      </c>
      <c r="S65" s="88">
        <f t="shared" si="21"/>
        <v>0.00024143661471693606</v>
      </c>
      <c r="T65" s="89">
        <f t="shared" si="35"/>
        <v>0</v>
      </c>
      <c r="U65" s="89">
        <f t="shared" si="23"/>
        <v>0</v>
      </c>
      <c r="V65" s="89">
        <f t="shared" si="24"/>
        <v>0</v>
      </c>
      <c r="W65" s="248">
        <f t="shared" si="11"/>
        <v>0</v>
      </c>
      <c r="X65" s="89">
        <f t="shared" si="12"/>
        <v>0</v>
      </c>
    </row>
    <row r="66" spans="1:24" s="224" customFormat="1" ht="20.25">
      <c r="A66" s="208" t="s">
        <v>97</v>
      </c>
      <c r="B66" s="204"/>
      <c r="C66" s="205">
        <f>C8+C35+C61</f>
        <v>1313714.8000000003</v>
      </c>
      <c r="D66" s="205">
        <f t="shared" si="15"/>
        <v>301615.9999999993</v>
      </c>
      <c r="E66" s="205">
        <f t="shared" si="0"/>
        <v>122.95901667546102</v>
      </c>
      <c r="F66" s="205">
        <f aca="true" t="shared" si="43" ref="F66:L66">F8+F35+F61</f>
        <v>1338506.7</v>
      </c>
      <c r="G66" s="205">
        <f t="shared" si="43"/>
        <v>1338506.7</v>
      </c>
      <c r="H66" s="205">
        <f t="shared" si="43"/>
        <v>1338506.5</v>
      </c>
      <c r="I66" s="205">
        <f t="shared" si="43"/>
        <v>762223.9</v>
      </c>
      <c r="J66" s="205">
        <f t="shared" si="43"/>
        <v>683491.3</v>
      </c>
      <c r="K66" s="205">
        <f t="shared" si="43"/>
        <v>1615330.7999999996</v>
      </c>
      <c r="L66" s="205" t="e">
        <f t="shared" si="43"/>
        <v>#REF!</v>
      </c>
      <c r="M66" s="205">
        <f t="shared" si="38"/>
        <v>120.68156252038182</v>
      </c>
      <c r="N66" s="203">
        <f t="shared" si="10"/>
        <v>276824.0999999996</v>
      </c>
      <c r="O66" s="203">
        <f t="shared" si="18"/>
        <v>120.68158055265323</v>
      </c>
      <c r="P66" s="205">
        <f t="shared" si="19"/>
        <v>236.33523938051582</v>
      </c>
      <c r="Q66" s="203">
        <f t="shared" si="5"/>
        <v>276824.2999999996</v>
      </c>
      <c r="R66" s="203">
        <f t="shared" si="6"/>
        <v>931839.4999999995</v>
      </c>
      <c r="S66" s="116">
        <f t="shared" si="21"/>
        <v>100</v>
      </c>
      <c r="T66" s="117">
        <f t="shared" si="35"/>
        <v>0</v>
      </c>
      <c r="U66" s="117">
        <f t="shared" si="23"/>
        <v>0</v>
      </c>
      <c r="V66" s="117">
        <f t="shared" si="24"/>
        <v>0</v>
      </c>
      <c r="W66" s="248">
        <f t="shared" si="11"/>
        <v>0.19999999995343387</v>
      </c>
      <c r="X66" s="89">
        <f t="shared" si="12"/>
        <v>78732.59999999998</v>
      </c>
    </row>
    <row r="67" spans="1:24" s="224" customFormat="1" ht="20.25">
      <c r="A67" s="206" t="s">
        <v>98</v>
      </c>
      <c r="B67" s="204">
        <v>40000000</v>
      </c>
      <c r="C67" s="205">
        <f>C68</f>
        <v>1394337.3759</v>
      </c>
      <c r="D67" s="205">
        <f t="shared" si="15"/>
        <v>-1081127.0759</v>
      </c>
      <c r="E67" s="205">
        <f t="shared" si="0"/>
        <v>22.463021175046162</v>
      </c>
      <c r="F67" s="205">
        <f aca="true" t="shared" si="44" ref="F67:L67">F68</f>
        <v>1424653.3</v>
      </c>
      <c r="G67" s="205">
        <f t="shared" si="44"/>
        <v>1424653.3</v>
      </c>
      <c r="H67" s="205">
        <f t="shared" si="44"/>
        <v>1424653</v>
      </c>
      <c r="I67" s="205">
        <f t="shared" si="44"/>
        <v>1424653.3</v>
      </c>
      <c r="J67" s="205">
        <f t="shared" si="44"/>
        <v>1399003.2</v>
      </c>
      <c r="K67" s="205">
        <f t="shared" si="44"/>
        <v>313210.3</v>
      </c>
      <c r="L67" s="205" t="e">
        <f t="shared" si="44"/>
        <v>#REF!</v>
      </c>
      <c r="M67" s="205">
        <f t="shared" si="38"/>
        <v>21.985019092013474</v>
      </c>
      <c r="N67" s="203">
        <f t="shared" si="10"/>
        <v>-1111443</v>
      </c>
      <c r="O67" s="203">
        <f t="shared" si="18"/>
        <v>21.985023721565884</v>
      </c>
      <c r="P67" s="205">
        <f t="shared" si="19"/>
        <v>22.38810461620102</v>
      </c>
      <c r="Q67" s="203">
        <f t="shared" si="5"/>
        <v>-1111442.7</v>
      </c>
      <c r="R67" s="203">
        <f t="shared" si="6"/>
        <v>-1085792.9</v>
      </c>
      <c r="S67" s="116">
        <f aca="true" t="shared" si="45" ref="S67:S80">K67-H67-Q67</f>
        <v>0</v>
      </c>
      <c r="T67" s="117">
        <f t="shared" si="35"/>
        <v>0</v>
      </c>
      <c r="U67" s="117">
        <f t="shared" si="23"/>
        <v>0</v>
      </c>
      <c r="V67" s="117">
        <f t="shared" si="24"/>
        <v>0</v>
      </c>
      <c r="W67" s="248">
        <f t="shared" si="11"/>
        <v>0.30000000004656613</v>
      </c>
      <c r="X67" s="89">
        <f t="shared" si="12"/>
        <v>25650.100000000093</v>
      </c>
    </row>
    <row r="68" spans="1:24" s="147" customFormat="1" ht="20.25">
      <c r="A68" s="146" t="s">
        <v>99</v>
      </c>
      <c r="B68" s="43">
        <v>41000000</v>
      </c>
      <c r="C68" s="9">
        <f>C83+C81</f>
        <v>1394337.3759</v>
      </c>
      <c r="D68" s="9">
        <f>D83+D81</f>
        <v>-1081127.0759</v>
      </c>
      <c r="E68" s="6">
        <f t="shared" si="0"/>
        <v>22.463021175046162</v>
      </c>
      <c r="F68" s="9">
        <f aca="true" t="shared" si="46" ref="F68:L68">F81+F83</f>
        <v>1424653.3</v>
      </c>
      <c r="G68" s="205">
        <f t="shared" si="46"/>
        <v>1424653.3</v>
      </c>
      <c r="H68" s="205">
        <f t="shared" si="46"/>
        <v>1424653</v>
      </c>
      <c r="I68" s="205">
        <f t="shared" si="46"/>
        <v>1424653.3</v>
      </c>
      <c r="J68" s="205">
        <f t="shared" si="46"/>
        <v>1399003.2</v>
      </c>
      <c r="K68" s="9">
        <f t="shared" si="46"/>
        <v>313210.3</v>
      </c>
      <c r="L68" s="9" t="e">
        <f t="shared" si="46"/>
        <v>#REF!</v>
      </c>
      <c r="M68" s="9">
        <f t="shared" si="38"/>
        <v>21.985019092013474</v>
      </c>
      <c r="N68" s="6">
        <f t="shared" si="10"/>
        <v>-1111443</v>
      </c>
      <c r="O68" s="203">
        <f t="shared" si="18"/>
        <v>21.985023721565884</v>
      </c>
      <c r="P68" s="205">
        <f t="shared" si="19"/>
        <v>22.38810461620102</v>
      </c>
      <c r="Q68" s="203">
        <f t="shared" si="5"/>
        <v>-1111442.7</v>
      </c>
      <c r="R68" s="203">
        <f t="shared" si="6"/>
        <v>-1085792.9</v>
      </c>
      <c r="S68" s="88">
        <f t="shared" si="45"/>
        <v>0</v>
      </c>
      <c r="T68" s="89">
        <f t="shared" si="35"/>
        <v>0</v>
      </c>
      <c r="U68" s="89">
        <f t="shared" si="23"/>
        <v>0</v>
      </c>
      <c r="V68" s="89">
        <f t="shared" si="24"/>
        <v>0</v>
      </c>
      <c r="W68" s="248">
        <f t="shared" si="11"/>
        <v>0.30000000004656613</v>
      </c>
      <c r="X68" s="89">
        <f t="shared" si="12"/>
        <v>25650.100000000093</v>
      </c>
    </row>
    <row r="69" spans="1:24" s="92" customFormat="1" ht="20.25" hidden="1">
      <c r="A69" s="162" t="s">
        <v>114</v>
      </c>
      <c r="B69" s="27">
        <v>41010100</v>
      </c>
      <c r="C69" s="3"/>
      <c r="D69" s="6">
        <f t="shared" si="15"/>
        <v>0</v>
      </c>
      <c r="E69" s="14" t="e">
        <f t="shared" si="0"/>
        <v>#DIV/0!</v>
      </c>
      <c r="F69" s="3"/>
      <c r="G69" s="216">
        <f>F69/12*5</f>
        <v>0</v>
      </c>
      <c r="H69" s="216">
        <f>F69/12*4+F69/12*3/19</f>
        <v>0</v>
      </c>
      <c r="I69" s="216">
        <f>G69/12*4+G69/12*3/19</f>
        <v>0</v>
      </c>
      <c r="J69" s="216">
        <f>H69/12*4+H69/12*3/19</f>
        <v>0</v>
      </c>
      <c r="K69" s="3"/>
      <c r="L69" s="3"/>
      <c r="M69" s="9" t="e">
        <f t="shared" si="38"/>
        <v>#DIV/0!</v>
      </c>
      <c r="N69" s="6">
        <f t="shared" si="10"/>
        <v>0</v>
      </c>
      <c r="O69" s="203" t="e">
        <f t="shared" si="18"/>
        <v>#DIV/0!</v>
      </c>
      <c r="P69" s="205" t="e">
        <f t="shared" si="19"/>
        <v>#DIV/0!</v>
      </c>
      <c r="Q69" s="203">
        <f t="shared" si="5"/>
        <v>0</v>
      </c>
      <c r="R69" s="203">
        <f t="shared" si="6"/>
        <v>0</v>
      </c>
      <c r="S69" s="88">
        <f t="shared" si="45"/>
        <v>0</v>
      </c>
      <c r="T69" s="89">
        <f t="shared" si="35"/>
        <v>0</v>
      </c>
      <c r="U69" s="89" t="e">
        <f t="shared" si="23"/>
        <v>#DIV/0!</v>
      </c>
      <c r="V69" s="89" t="e">
        <f t="shared" si="24"/>
        <v>#DIV/0!</v>
      </c>
      <c r="W69" s="248">
        <f t="shared" si="11"/>
        <v>0</v>
      </c>
      <c r="X69" s="89">
        <f t="shared" si="12"/>
        <v>0</v>
      </c>
    </row>
    <row r="70" spans="1:24" s="147" customFormat="1" ht="20.25" hidden="1">
      <c r="A70" s="149" t="s">
        <v>100</v>
      </c>
      <c r="B70" s="43">
        <v>41020000</v>
      </c>
      <c r="C70" s="9">
        <f>SUM(C71:C80)</f>
        <v>0</v>
      </c>
      <c r="D70" s="6">
        <f t="shared" si="15"/>
        <v>0</v>
      </c>
      <c r="E70" s="50"/>
      <c r="F70" s="9">
        <f>SUM(F71:F80)</f>
        <v>0</v>
      </c>
      <c r="G70" s="205">
        <f>F70/12</f>
        <v>0</v>
      </c>
      <c r="H70" s="205">
        <f>F70/12*10+F70/12*19/21</f>
        <v>0</v>
      </c>
      <c r="I70" s="205">
        <f>SUM(I71:I80)</f>
        <v>0</v>
      </c>
      <c r="J70" s="205">
        <f>SUM(J71:J80)</f>
        <v>0</v>
      </c>
      <c r="K70" s="9">
        <f>SUM(K71:K80)</f>
        <v>0</v>
      </c>
      <c r="L70" s="9">
        <f>SUM(L71:L80)</f>
        <v>0</v>
      </c>
      <c r="M70" s="9" t="e">
        <f t="shared" si="38"/>
        <v>#DIV/0!</v>
      </c>
      <c r="N70" s="6">
        <f t="shared" si="10"/>
        <v>0</v>
      </c>
      <c r="O70" s="203" t="e">
        <f t="shared" si="18"/>
        <v>#DIV/0!</v>
      </c>
      <c r="P70" s="205" t="e">
        <f t="shared" si="19"/>
        <v>#DIV/0!</v>
      </c>
      <c r="Q70" s="203">
        <f t="shared" si="5"/>
        <v>0</v>
      </c>
      <c r="R70" s="203">
        <f t="shared" si="6"/>
        <v>0</v>
      </c>
      <c r="S70" s="88">
        <f t="shared" si="45"/>
        <v>0</v>
      </c>
      <c r="T70" s="89">
        <f t="shared" si="35"/>
        <v>0</v>
      </c>
      <c r="U70" s="89" t="e">
        <f t="shared" si="23"/>
        <v>#DIV/0!</v>
      </c>
      <c r="V70" s="89" t="e">
        <f t="shared" si="24"/>
        <v>#DIV/0!</v>
      </c>
      <c r="W70" s="248">
        <f t="shared" si="11"/>
        <v>0</v>
      </c>
      <c r="X70" s="89">
        <f t="shared" si="12"/>
        <v>0</v>
      </c>
    </row>
    <row r="71" spans="1:24" s="92" customFormat="1" ht="20.25" hidden="1">
      <c r="A71" s="26" t="s">
        <v>137</v>
      </c>
      <c r="B71" s="27">
        <v>41020100</v>
      </c>
      <c r="C71" s="3"/>
      <c r="D71" s="6">
        <f t="shared" si="15"/>
        <v>0</v>
      </c>
      <c r="E71" s="14" t="e">
        <f aca="true" t="shared" si="47" ref="E71:E138">K71/C71*100</f>
        <v>#DIV/0!</v>
      </c>
      <c r="F71" s="3"/>
      <c r="G71" s="216">
        <f>F71/12</f>
        <v>0</v>
      </c>
      <c r="H71" s="216">
        <f>F71/12*10+F71/12*19/21</f>
        <v>0</v>
      </c>
      <c r="I71" s="216"/>
      <c r="J71" s="216"/>
      <c r="K71" s="3"/>
      <c r="L71" s="3"/>
      <c r="M71" s="9" t="e">
        <f t="shared" si="38"/>
        <v>#DIV/0!</v>
      </c>
      <c r="N71" s="6">
        <f t="shared" si="10"/>
        <v>0</v>
      </c>
      <c r="O71" s="203" t="e">
        <f t="shared" si="18"/>
        <v>#DIV/0!</v>
      </c>
      <c r="P71" s="205" t="e">
        <f t="shared" si="19"/>
        <v>#DIV/0!</v>
      </c>
      <c r="Q71" s="203">
        <f t="shared" si="5"/>
        <v>0</v>
      </c>
      <c r="R71" s="203">
        <f t="shared" si="6"/>
        <v>0</v>
      </c>
      <c r="S71" s="88">
        <f t="shared" si="45"/>
        <v>0</v>
      </c>
      <c r="T71" s="89">
        <f t="shared" si="35"/>
        <v>0</v>
      </c>
      <c r="U71" s="89" t="e">
        <f t="shared" si="23"/>
        <v>#DIV/0!</v>
      </c>
      <c r="V71" s="89" t="e">
        <f t="shared" si="24"/>
        <v>#DIV/0!</v>
      </c>
      <c r="W71" s="248">
        <f t="shared" si="11"/>
        <v>0</v>
      </c>
      <c r="X71" s="89">
        <f t="shared" si="12"/>
        <v>0</v>
      </c>
    </row>
    <row r="72" spans="1:24" s="92" customFormat="1" ht="30" hidden="1">
      <c r="A72" s="173" t="s">
        <v>101</v>
      </c>
      <c r="B72" s="30">
        <v>41020600</v>
      </c>
      <c r="C72" s="3"/>
      <c r="D72" s="6">
        <f t="shared" si="15"/>
        <v>0</v>
      </c>
      <c r="E72" s="14" t="e">
        <f t="shared" si="47"/>
        <v>#DIV/0!</v>
      </c>
      <c r="F72" s="3"/>
      <c r="G72" s="216">
        <f>F72/12</f>
        <v>0</v>
      </c>
      <c r="H72" s="216">
        <f>F72/12*10+F72/12*19/21</f>
        <v>0</v>
      </c>
      <c r="I72" s="216"/>
      <c r="J72" s="216"/>
      <c r="K72" s="3"/>
      <c r="L72" s="3"/>
      <c r="M72" s="9" t="e">
        <f t="shared" si="38"/>
        <v>#DIV/0!</v>
      </c>
      <c r="N72" s="6">
        <f t="shared" si="10"/>
        <v>0</v>
      </c>
      <c r="O72" s="203" t="e">
        <f t="shared" si="18"/>
        <v>#DIV/0!</v>
      </c>
      <c r="P72" s="205" t="e">
        <f t="shared" si="19"/>
        <v>#DIV/0!</v>
      </c>
      <c r="Q72" s="203">
        <f aca="true" t="shared" si="48" ref="Q72:Q80">K72-H72</f>
        <v>0</v>
      </c>
      <c r="R72" s="203">
        <f aca="true" t="shared" si="49" ref="R72:R80">K72-J72</f>
        <v>0</v>
      </c>
      <c r="S72" s="88">
        <f t="shared" si="45"/>
        <v>0</v>
      </c>
      <c r="T72" s="89">
        <f t="shared" si="35"/>
        <v>0</v>
      </c>
      <c r="U72" s="89" t="e">
        <f t="shared" si="23"/>
        <v>#DIV/0!</v>
      </c>
      <c r="V72" s="89" t="e">
        <f t="shared" si="24"/>
        <v>#DIV/0!</v>
      </c>
      <c r="W72" s="248">
        <f t="shared" si="11"/>
        <v>0</v>
      </c>
      <c r="X72" s="89">
        <f t="shared" si="12"/>
        <v>0</v>
      </c>
    </row>
    <row r="73" spans="1:24" s="92" customFormat="1" ht="20.25" hidden="1">
      <c r="A73" s="173" t="s">
        <v>102</v>
      </c>
      <c r="B73" s="30">
        <v>41020900</v>
      </c>
      <c r="C73" s="3"/>
      <c r="D73" s="6">
        <f t="shared" si="15"/>
        <v>0</v>
      </c>
      <c r="E73" s="14" t="e">
        <f t="shared" si="47"/>
        <v>#DIV/0!</v>
      </c>
      <c r="F73" s="3"/>
      <c r="G73" s="216">
        <f aca="true" t="shared" si="50" ref="G73:G80">F73/12*11</f>
        <v>0</v>
      </c>
      <c r="H73" s="216">
        <f>F73/12*11+F73/12*9/23</f>
        <v>0</v>
      </c>
      <c r="I73" s="216"/>
      <c r="J73" s="216"/>
      <c r="K73" s="3"/>
      <c r="L73" s="3"/>
      <c r="M73" s="9" t="e">
        <f t="shared" si="38"/>
        <v>#DIV/0!</v>
      </c>
      <c r="N73" s="6">
        <f aca="true" t="shared" si="51" ref="N73:N136">K73-F73</f>
        <v>0</v>
      </c>
      <c r="O73" s="203" t="e">
        <f t="shared" si="18"/>
        <v>#DIV/0!</v>
      </c>
      <c r="P73" s="205" t="e">
        <f t="shared" si="19"/>
        <v>#DIV/0!</v>
      </c>
      <c r="Q73" s="203">
        <f t="shared" si="48"/>
        <v>0</v>
      </c>
      <c r="R73" s="203">
        <f t="shared" si="49"/>
        <v>0</v>
      </c>
      <c r="S73" s="88">
        <f t="shared" si="45"/>
        <v>0</v>
      </c>
      <c r="T73" s="89">
        <f t="shared" si="35"/>
        <v>0</v>
      </c>
      <c r="U73" s="89" t="e">
        <f t="shared" si="23"/>
        <v>#DIV/0!</v>
      </c>
      <c r="V73" s="89" t="e">
        <f t="shared" si="24"/>
        <v>#DIV/0!</v>
      </c>
      <c r="W73" s="248">
        <f aca="true" t="shared" si="52" ref="W73:W106">G73-H73</f>
        <v>0</v>
      </c>
      <c r="X73" s="89">
        <f aca="true" t="shared" si="53" ref="X73:X106">I73-J73</f>
        <v>0</v>
      </c>
    </row>
    <row r="74" spans="1:24" s="92" customFormat="1" ht="60" hidden="1">
      <c r="A74" s="173" t="s">
        <v>112</v>
      </c>
      <c r="B74" s="30">
        <v>41021100</v>
      </c>
      <c r="C74" s="3"/>
      <c r="D74" s="6">
        <f t="shared" si="15"/>
        <v>0</v>
      </c>
      <c r="E74" s="50" t="e">
        <f t="shared" si="47"/>
        <v>#DIV/0!</v>
      </c>
      <c r="F74" s="3"/>
      <c r="G74" s="216">
        <f t="shared" si="50"/>
        <v>0</v>
      </c>
      <c r="H74" s="216">
        <f>F74/12*11+F74/12*9/23</f>
        <v>0</v>
      </c>
      <c r="I74" s="216"/>
      <c r="J74" s="216"/>
      <c r="K74" s="3"/>
      <c r="L74" s="3"/>
      <c r="M74" s="9" t="e">
        <f t="shared" si="38"/>
        <v>#DIV/0!</v>
      </c>
      <c r="N74" s="6">
        <f t="shared" si="51"/>
        <v>0</v>
      </c>
      <c r="O74" s="203" t="e">
        <f t="shared" si="18"/>
        <v>#DIV/0!</v>
      </c>
      <c r="P74" s="205" t="e">
        <f t="shared" si="19"/>
        <v>#DIV/0!</v>
      </c>
      <c r="Q74" s="203">
        <f t="shared" si="48"/>
        <v>0</v>
      </c>
      <c r="R74" s="203">
        <f t="shared" si="49"/>
        <v>0</v>
      </c>
      <c r="S74" s="88">
        <f t="shared" si="45"/>
        <v>0</v>
      </c>
      <c r="T74" s="89">
        <f t="shared" si="35"/>
        <v>0</v>
      </c>
      <c r="U74" s="89" t="e">
        <f t="shared" si="23"/>
        <v>#DIV/0!</v>
      </c>
      <c r="V74" s="89" t="e">
        <f t="shared" si="24"/>
        <v>#DIV/0!</v>
      </c>
      <c r="W74" s="248">
        <f t="shared" si="52"/>
        <v>0</v>
      </c>
      <c r="X74" s="89">
        <f t="shared" si="53"/>
        <v>0</v>
      </c>
    </row>
    <row r="75" spans="1:24" s="92" customFormat="1" ht="45" hidden="1">
      <c r="A75" s="173" t="s">
        <v>103</v>
      </c>
      <c r="B75" s="30">
        <v>41021200</v>
      </c>
      <c r="C75" s="3"/>
      <c r="D75" s="6">
        <f t="shared" si="15"/>
        <v>0</v>
      </c>
      <c r="E75" s="50" t="e">
        <f t="shared" si="47"/>
        <v>#DIV/0!</v>
      </c>
      <c r="F75" s="3"/>
      <c r="G75" s="216">
        <f t="shared" si="50"/>
        <v>0</v>
      </c>
      <c r="H75" s="216">
        <f>F75/12*11+F75/12*9/23</f>
        <v>0</v>
      </c>
      <c r="I75" s="216"/>
      <c r="J75" s="216"/>
      <c r="K75" s="3"/>
      <c r="L75" s="3"/>
      <c r="M75" s="9" t="e">
        <f t="shared" si="38"/>
        <v>#DIV/0!</v>
      </c>
      <c r="N75" s="6">
        <f t="shared" si="51"/>
        <v>0</v>
      </c>
      <c r="O75" s="203" t="e">
        <f t="shared" si="18"/>
        <v>#DIV/0!</v>
      </c>
      <c r="P75" s="205" t="e">
        <f t="shared" si="19"/>
        <v>#DIV/0!</v>
      </c>
      <c r="Q75" s="203">
        <f t="shared" si="48"/>
        <v>0</v>
      </c>
      <c r="R75" s="203">
        <f t="shared" si="49"/>
        <v>0</v>
      </c>
      <c r="S75" s="88">
        <f t="shared" si="45"/>
        <v>0</v>
      </c>
      <c r="T75" s="89">
        <f t="shared" si="35"/>
        <v>0</v>
      </c>
      <c r="U75" s="89" t="e">
        <f t="shared" si="23"/>
        <v>#DIV/0!</v>
      </c>
      <c r="V75" s="89" t="e">
        <f t="shared" si="24"/>
        <v>#DIV/0!</v>
      </c>
      <c r="W75" s="248">
        <f t="shared" si="52"/>
        <v>0</v>
      </c>
      <c r="X75" s="89">
        <f t="shared" si="53"/>
        <v>0</v>
      </c>
    </row>
    <row r="76" spans="1:24" s="92" customFormat="1" ht="45" hidden="1">
      <c r="A76" s="173" t="s">
        <v>110</v>
      </c>
      <c r="B76" s="30">
        <v>41021300</v>
      </c>
      <c r="C76" s="3"/>
      <c r="D76" s="6">
        <f t="shared" si="15"/>
        <v>0</v>
      </c>
      <c r="E76" s="14" t="e">
        <f t="shared" si="47"/>
        <v>#DIV/0!</v>
      </c>
      <c r="F76" s="3"/>
      <c r="G76" s="216">
        <f t="shared" si="50"/>
        <v>0</v>
      </c>
      <c r="H76" s="216">
        <f>F76/12*11+F76/12*9/23</f>
        <v>0</v>
      </c>
      <c r="I76" s="216"/>
      <c r="J76" s="216"/>
      <c r="K76" s="3"/>
      <c r="L76" s="3"/>
      <c r="M76" s="9" t="e">
        <f t="shared" si="38"/>
        <v>#DIV/0!</v>
      </c>
      <c r="N76" s="6">
        <f t="shared" si="51"/>
        <v>0</v>
      </c>
      <c r="O76" s="203" t="e">
        <f t="shared" si="18"/>
        <v>#DIV/0!</v>
      </c>
      <c r="P76" s="205" t="e">
        <f t="shared" si="19"/>
        <v>#DIV/0!</v>
      </c>
      <c r="Q76" s="203">
        <f t="shared" si="48"/>
        <v>0</v>
      </c>
      <c r="R76" s="203">
        <f t="shared" si="49"/>
        <v>0</v>
      </c>
      <c r="S76" s="88">
        <f t="shared" si="45"/>
        <v>0</v>
      </c>
      <c r="T76" s="89">
        <f t="shared" si="35"/>
        <v>0</v>
      </c>
      <c r="U76" s="89" t="e">
        <f t="shared" si="23"/>
        <v>#DIV/0!</v>
      </c>
      <c r="V76" s="89" t="e">
        <f t="shared" si="24"/>
        <v>#DIV/0!</v>
      </c>
      <c r="W76" s="248">
        <f t="shared" si="52"/>
        <v>0</v>
      </c>
      <c r="X76" s="89">
        <f t="shared" si="53"/>
        <v>0</v>
      </c>
    </row>
    <row r="77" spans="1:24" s="92" customFormat="1" ht="60" hidden="1">
      <c r="A77" s="41" t="s">
        <v>161</v>
      </c>
      <c r="B77" s="30">
        <v>41021600</v>
      </c>
      <c r="C77" s="3"/>
      <c r="D77" s="6">
        <f t="shared" si="15"/>
        <v>0</v>
      </c>
      <c r="E77" s="50" t="e">
        <f t="shared" si="47"/>
        <v>#DIV/0!</v>
      </c>
      <c r="F77" s="3"/>
      <c r="G77" s="216">
        <f t="shared" si="50"/>
        <v>0</v>
      </c>
      <c r="H77" s="216">
        <f>F77/12*11+F77/12*14/22</f>
        <v>0</v>
      </c>
      <c r="I77" s="216"/>
      <c r="J77" s="216"/>
      <c r="K77" s="3"/>
      <c r="L77" s="3"/>
      <c r="M77" s="9" t="e">
        <f t="shared" si="38"/>
        <v>#DIV/0!</v>
      </c>
      <c r="N77" s="6">
        <f t="shared" si="51"/>
        <v>0</v>
      </c>
      <c r="O77" s="203" t="e">
        <f t="shared" si="18"/>
        <v>#DIV/0!</v>
      </c>
      <c r="P77" s="205" t="e">
        <f t="shared" si="19"/>
        <v>#DIV/0!</v>
      </c>
      <c r="Q77" s="203">
        <f t="shared" si="48"/>
        <v>0</v>
      </c>
      <c r="R77" s="203">
        <f t="shared" si="49"/>
        <v>0</v>
      </c>
      <c r="S77" s="88">
        <f t="shared" si="45"/>
        <v>0</v>
      </c>
      <c r="T77" s="89">
        <f t="shared" si="35"/>
        <v>0</v>
      </c>
      <c r="U77" s="89" t="e">
        <f t="shared" si="23"/>
        <v>#DIV/0!</v>
      </c>
      <c r="V77" s="89" t="e">
        <f t="shared" si="24"/>
        <v>#DIV/0!</v>
      </c>
      <c r="W77" s="248">
        <f t="shared" si="52"/>
        <v>0</v>
      </c>
      <c r="X77" s="89">
        <f t="shared" si="53"/>
        <v>0</v>
      </c>
    </row>
    <row r="78" spans="1:24" s="92" customFormat="1" ht="45" hidden="1">
      <c r="A78" s="41" t="s">
        <v>104</v>
      </c>
      <c r="B78" s="30">
        <v>41021700</v>
      </c>
      <c r="C78" s="3"/>
      <c r="D78" s="6">
        <f t="shared" si="15"/>
        <v>0</v>
      </c>
      <c r="E78" s="50" t="e">
        <f t="shared" si="47"/>
        <v>#DIV/0!</v>
      </c>
      <c r="F78" s="3"/>
      <c r="G78" s="216">
        <f t="shared" si="50"/>
        <v>0</v>
      </c>
      <c r="H78" s="216">
        <f>F78/12*11+F78/12*14/22</f>
        <v>0</v>
      </c>
      <c r="I78" s="216"/>
      <c r="J78" s="216"/>
      <c r="K78" s="3"/>
      <c r="L78" s="3"/>
      <c r="M78" s="9" t="e">
        <f t="shared" si="38"/>
        <v>#DIV/0!</v>
      </c>
      <c r="N78" s="6">
        <f t="shared" si="51"/>
        <v>0</v>
      </c>
      <c r="O78" s="203" t="e">
        <f t="shared" si="18"/>
        <v>#DIV/0!</v>
      </c>
      <c r="P78" s="205" t="e">
        <f t="shared" si="19"/>
        <v>#DIV/0!</v>
      </c>
      <c r="Q78" s="203">
        <f t="shared" si="48"/>
        <v>0</v>
      </c>
      <c r="R78" s="203">
        <f t="shared" si="49"/>
        <v>0</v>
      </c>
      <c r="S78" s="88">
        <f t="shared" si="45"/>
        <v>0</v>
      </c>
      <c r="T78" s="89">
        <f t="shared" si="35"/>
        <v>0</v>
      </c>
      <c r="U78" s="89" t="e">
        <f t="shared" si="23"/>
        <v>#DIV/0!</v>
      </c>
      <c r="V78" s="89" t="e">
        <f t="shared" si="24"/>
        <v>#DIV/0!</v>
      </c>
      <c r="W78" s="248">
        <f t="shared" si="52"/>
        <v>0</v>
      </c>
      <c r="X78" s="89">
        <f t="shared" si="53"/>
        <v>0</v>
      </c>
    </row>
    <row r="79" spans="1:24" s="92" customFormat="1" ht="30" hidden="1">
      <c r="A79" s="41" t="s">
        <v>105</v>
      </c>
      <c r="B79" s="30">
        <v>41021800</v>
      </c>
      <c r="C79" s="3"/>
      <c r="D79" s="6">
        <f aca="true" t="shared" si="54" ref="D79:D101">K79-C79</f>
        <v>0</v>
      </c>
      <c r="E79" s="50" t="e">
        <f t="shared" si="47"/>
        <v>#DIV/0!</v>
      </c>
      <c r="F79" s="3"/>
      <c r="G79" s="216">
        <f t="shared" si="50"/>
        <v>0</v>
      </c>
      <c r="H79" s="216">
        <f>F79/12*11+F79/12*14/22</f>
        <v>0</v>
      </c>
      <c r="I79" s="216"/>
      <c r="J79" s="216"/>
      <c r="K79" s="3"/>
      <c r="L79" s="3"/>
      <c r="M79" s="9" t="e">
        <f t="shared" si="38"/>
        <v>#DIV/0!</v>
      </c>
      <c r="N79" s="6">
        <f t="shared" si="51"/>
        <v>0</v>
      </c>
      <c r="O79" s="203" t="e">
        <f t="shared" si="18"/>
        <v>#DIV/0!</v>
      </c>
      <c r="P79" s="205" t="e">
        <f t="shared" si="19"/>
        <v>#DIV/0!</v>
      </c>
      <c r="Q79" s="203">
        <f t="shared" si="48"/>
        <v>0</v>
      </c>
      <c r="R79" s="203">
        <f t="shared" si="49"/>
        <v>0</v>
      </c>
      <c r="S79" s="88">
        <f t="shared" si="45"/>
        <v>0</v>
      </c>
      <c r="T79" s="89">
        <f t="shared" si="35"/>
        <v>0</v>
      </c>
      <c r="U79" s="89" t="e">
        <f t="shared" si="23"/>
        <v>#DIV/0!</v>
      </c>
      <c r="V79" s="89" t="e">
        <f t="shared" si="24"/>
        <v>#DIV/0!</v>
      </c>
      <c r="W79" s="248">
        <f t="shared" si="52"/>
        <v>0</v>
      </c>
      <c r="X79" s="89">
        <f t="shared" si="53"/>
        <v>0</v>
      </c>
    </row>
    <row r="80" spans="1:24" s="92" customFormat="1" ht="60" hidden="1">
      <c r="A80" s="41" t="s">
        <v>225</v>
      </c>
      <c r="B80" s="30">
        <v>41021900</v>
      </c>
      <c r="C80" s="3"/>
      <c r="D80" s="6">
        <f t="shared" si="54"/>
        <v>0</v>
      </c>
      <c r="E80" s="50" t="e">
        <f t="shared" si="47"/>
        <v>#DIV/0!</v>
      </c>
      <c r="F80" s="3"/>
      <c r="G80" s="216">
        <f t="shared" si="50"/>
        <v>0</v>
      </c>
      <c r="H80" s="216">
        <f>F80/12*11+F80/12*14/22</f>
        <v>0</v>
      </c>
      <c r="I80" s="216"/>
      <c r="J80" s="216"/>
      <c r="K80" s="3"/>
      <c r="L80" s="3"/>
      <c r="M80" s="9" t="e">
        <f t="shared" si="38"/>
        <v>#DIV/0!</v>
      </c>
      <c r="N80" s="6">
        <f t="shared" si="51"/>
        <v>0</v>
      </c>
      <c r="O80" s="203" t="e">
        <f t="shared" si="18"/>
        <v>#DIV/0!</v>
      </c>
      <c r="P80" s="205" t="e">
        <f t="shared" si="19"/>
        <v>#DIV/0!</v>
      </c>
      <c r="Q80" s="203">
        <f t="shared" si="48"/>
        <v>0</v>
      </c>
      <c r="R80" s="203">
        <f t="shared" si="49"/>
        <v>0</v>
      </c>
      <c r="S80" s="88">
        <f t="shared" si="45"/>
        <v>0</v>
      </c>
      <c r="T80" s="89">
        <f t="shared" si="35"/>
        <v>0</v>
      </c>
      <c r="U80" s="89" t="e">
        <f t="shared" si="23"/>
        <v>#DIV/0!</v>
      </c>
      <c r="V80" s="89" t="e">
        <f t="shared" si="24"/>
        <v>#DIV/0!</v>
      </c>
      <c r="W80" s="248">
        <f t="shared" si="52"/>
        <v>0</v>
      </c>
      <c r="X80" s="89">
        <f t="shared" si="53"/>
        <v>0</v>
      </c>
    </row>
    <row r="81" spans="1:24" s="147" customFormat="1" ht="20.25">
      <c r="A81" s="174" t="s">
        <v>100</v>
      </c>
      <c r="B81" s="55">
        <v>41020000</v>
      </c>
      <c r="C81" s="9">
        <f>C82</f>
        <v>0</v>
      </c>
      <c r="D81" s="6">
        <f>D82</f>
        <v>0</v>
      </c>
      <c r="E81" s="6"/>
      <c r="F81" s="9">
        <f aca="true" t="shared" si="55" ref="F81:L81">F82</f>
        <v>0</v>
      </c>
      <c r="G81" s="205">
        <f t="shared" si="55"/>
        <v>0</v>
      </c>
      <c r="H81" s="205">
        <f t="shared" si="55"/>
        <v>0</v>
      </c>
      <c r="I81" s="205">
        <f t="shared" si="55"/>
        <v>0</v>
      </c>
      <c r="J81" s="205">
        <f t="shared" si="55"/>
        <v>0</v>
      </c>
      <c r="K81" s="9">
        <f t="shared" si="55"/>
        <v>0</v>
      </c>
      <c r="L81" s="9">
        <f t="shared" si="55"/>
        <v>0</v>
      </c>
      <c r="M81" s="9"/>
      <c r="N81" s="6">
        <f t="shared" si="51"/>
        <v>0</v>
      </c>
      <c r="O81" s="203"/>
      <c r="P81" s="205"/>
      <c r="Q81" s="203">
        <f>Q82</f>
        <v>0</v>
      </c>
      <c r="R81" s="203">
        <f>R82</f>
        <v>0</v>
      </c>
      <c r="S81" s="88"/>
      <c r="T81" s="89"/>
      <c r="U81" s="89"/>
      <c r="V81" s="89"/>
      <c r="W81" s="248">
        <f t="shared" si="52"/>
        <v>0</v>
      </c>
      <c r="X81" s="89">
        <f t="shared" si="53"/>
        <v>0</v>
      </c>
    </row>
    <row r="82" spans="1:24" s="92" customFormat="1" ht="20.25">
      <c r="A82" s="41" t="s">
        <v>304</v>
      </c>
      <c r="B82" s="30">
        <v>41020604</v>
      </c>
      <c r="C82" s="3">
        <v>0</v>
      </c>
      <c r="D82" s="6">
        <f>K82-C82</f>
        <v>0</v>
      </c>
      <c r="E82" s="6"/>
      <c r="F82" s="3"/>
      <c r="G82" s="216">
        <f>ROUND(F82*$T$6,1)</f>
        <v>0</v>
      </c>
      <c r="H82" s="216">
        <f>ROUND((F82*$T$7+F82*$T$8),1)</f>
        <v>0</v>
      </c>
      <c r="I82" s="216"/>
      <c r="J82" s="216"/>
      <c r="K82" s="3"/>
      <c r="L82" s="3">
        <f>K82</f>
        <v>0</v>
      </c>
      <c r="M82" s="175" t="e">
        <f>K82/F82*100</f>
        <v>#DIV/0!</v>
      </c>
      <c r="N82" s="6">
        <f t="shared" si="51"/>
        <v>0</v>
      </c>
      <c r="O82" s="269" t="e">
        <f aca="true" t="shared" si="56" ref="O82:O106">K82/H82*100</f>
        <v>#DIV/0!</v>
      </c>
      <c r="P82" s="270" t="e">
        <f aca="true" t="shared" si="57" ref="P82:P106">K82/J82*100</f>
        <v>#DIV/0!</v>
      </c>
      <c r="Q82" s="269">
        <f aca="true" t="shared" si="58" ref="Q82:Q106">K82-H82</f>
        <v>0</v>
      </c>
      <c r="R82" s="269">
        <f aca="true" t="shared" si="59" ref="R82:R106">K82-J82</f>
        <v>0</v>
      </c>
      <c r="S82" s="88"/>
      <c r="T82" s="89"/>
      <c r="U82" s="89"/>
      <c r="V82" s="89"/>
      <c r="W82" s="248">
        <f t="shared" si="52"/>
        <v>0</v>
      </c>
      <c r="X82" s="89">
        <f t="shared" si="53"/>
        <v>0</v>
      </c>
    </row>
    <row r="83" spans="1:24" s="147" customFormat="1" ht="20.25">
      <c r="A83" s="149" t="s">
        <v>226</v>
      </c>
      <c r="B83" s="43">
        <v>41030000</v>
      </c>
      <c r="C83" s="9">
        <f>C84+C85+C86+C87+C91+C131+C136+C106+C135+C94+C134+C96+C105+C132+C133+C137+C125+C127+C130+C92+C93</f>
        <v>1394337.3759</v>
      </c>
      <c r="D83" s="6">
        <f t="shared" si="54"/>
        <v>-1081127.0759</v>
      </c>
      <c r="E83" s="6">
        <f t="shared" si="47"/>
        <v>22.463021175046162</v>
      </c>
      <c r="F83" s="9">
        <f>F84+F85+F86+F87+F91+F131+F136+F106+F135+F94+F134+F96+F105+F132+F133+F137+F125+F127+F130+F92+F93</f>
        <v>1424653.3</v>
      </c>
      <c r="G83" s="205">
        <f>G84+G85+G86+G87+G91+G131+G136+G106+G135+G94+G134+G96+G105+G132+G133+G137+G125+G127+G130+G92+G93</f>
        <v>1424653.3</v>
      </c>
      <c r="H83" s="205">
        <f>H84+H85+H86+H87+H91+H131+H136+H106+H135+H94+H134+H96+H105+H132+H133+H137+H125+H127+H130+H92+H93</f>
        <v>1424653</v>
      </c>
      <c r="I83" s="205">
        <f>I84+I85+I86+I87+I91+I131+I136+I106+I135+I94+I134+I96+I105+I132+I133+I137+I125+I127+I130+I92+I93</f>
        <v>1424653.3</v>
      </c>
      <c r="J83" s="205">
        <f>J84+J85+J86+J87+J91+J131+J136+J106+J135+J94+J134+J96+J105+J132+J133+J137+J95+J125+J127+J130+J92+J93</f>
        <v>1399003.2</v>
      </c>
      <c r="K83" s="9">
        <f>K84+K85+K86+K87+K91+K131+K136+K106+K135+K94+K134+K96+K105+K132+K133+K137+K125+K127+K130+K92+K93</f>
        <v>313210.3</v>
      </c>
      <c r="L83" s="9" t="e">
        <f>L84+L85+L86+L87+L91+L131+L136+L106+L135+L94+L134+L96+L105+L132+L133+L137+L125+L127+L130+L92+L93</f>
        <v>#REF!</v>
      </c>
      <c r="M83" s="9">
        <f t="shared" si="38"/>
        <v>21.985019092013474</v>
      </c>
      <c r="N83" s="6">
        <f t="shared" si="51"/>
        <v>-1111443</v>
      </c>
      <c r="O83" s="203">
        <f t="shared" si="56"/>
        <v>21.985023721565884</v>
      </c>
      <c r="P83" s="205">
        <f t="shared" si="57"/>
        <v>22.38810461620102</v>
      </c>
      <c r="Q83" s="203">
        <f t="shared" si="58"/>
        <v>-1111442.7</v>
      </c>
      <c r="R83" s="203">
        <f t="shared" si="59"/>
        <v>-1085792.9</v>
      </c>
      <c r="S83" s="88">
        <f aca="true" t="shared" si="60" ref="S83:S91">K83-H83-Q83</f>
        <v>0</v>
      </c>
      <c r="T83" s="89">
        <f>K83-J83-R83</f>
        <v>0</v>
      </c>
      <c r="U83" s="89">
        <f aca="true" t="shared" si="61" ref="U83:U91">K83/F83*100-M83</f>
        <v>0</v>
      </c>
      <c r="V83" s="89">
        <f aca="true" t="shared" si="62" ref="V83:V91">K83/H83*100-O83</f>
        <v>0</v>
      </c>
      <c r="W83" s="248">
        <f t="shared" si="52"/>
        <v>0.30000000004656613</v>
      </c>
      <c r="X83" s="89">
        <f t="shared" si="53"/>
        <v>25650.100000000093</v>
      </c>
    </row>
    <row r="84" spans="1:24" s="92" customFormat="1" ht="30">
      <c r="A84" s="26" t="s">
        <v>227</v>
      </c>
      <c r="B84" s="27">
        <v>41030300</v>
      </c>
      <c r="C84" s="3">
        <v>130.1</v>
      </c>
      <c r="D84" s="25">
        <f t="shared" si="54"/>
        <v>-130.1</v>
      </c>
      <c r="E84" s="25">
        <f t="shared" si="47"/>
        <v>0</v>
      </c>
      <c r="F84" s="3">
        <f>22+105.1+3</f>
        <v>130.1</v>
      </c>
      <c r="G84" s="216">
        <f aca="true" t="shared" si="63" ref="G84:G96">ROUND(F84*$T$6,1)</f>
        <v>130.1</v>
      </c>
      <c r="H84" s="219">
        <f aca="true" t="shared" si="64" ref="H84:H96">ROUND(F84*$T$7+F84*$T$8,1)</f>
        <v>130.1</v>
      </c>
      <c r="I84" s="216">
        <v>130.1</v>
      </c>
      <c r="J84" s="216">
        <v>128</v>
      </c>
      <c r="K84" s="3">
        <v>0</v>
      </c>
      <c r="L84" s="3" t="e">
        <f>K84-#REF!</f>
        <v>#REF!</v>
      </c>
      <c r="M84" s="25">
        <f t="shared" si="38"/>
        <v>0</v>
      </c>
      <c r="N84" s="25">
        <f t="shared" si="51"/>
        <v>-130.1</v>
      </c>
      <c r="O84" s="263">
        <f t="shared" si="56"/>
        <v>0</v>
      </c>
      <c r="P84" s="263">
        <f t="shared" si="57"/>
        <v>0</v>
      </c>
      <c r="Q84" s="263">
        <f t="shared" si="58"/>
        <v>-130.1</v>
      </c>
      <c r="R84" s="263">
        <f t="shared" si="59"/>
        <v>-128</v>
      </c>
      <c r="S84" s="88">
        <f t="shared" si="60"/>
        <v>0</v>
      </c>
      <c r="T84" s="176">
        <f aca="true" t="shared" si="65" ref="T84:T91">F84/12</f>
        <v>10.841666666666667</v>
      </c>
      <c r="U84" s="89">
        <f t="shared" si="61"/>
        <v>0</v>
      </c>
      <c r="V84" s="89">
        <f t="shared" si="62"/>
        <v>0</v>
      </c>
      <c r="W84" s="248">
        <f t="shared" si="52"/>
        <v>0</v>
      </c>
      <c r="X84" s="89">
        <f t="shared" si="53"/>
        <v>2.0999999999999943</v>
      </c>
    </row>
    <row r="85" spans="1:24" s="91" customFormat="1" ht="75">
      <c r="A85" s="26" t="s">
        <v>224</v>
      </c>
      <c r="B85" s="27">
        <v>41030600</v>
      </c>
      <c r="C85" s="1">
        <v>291262.5</v>
      </c>
      <c r="D85" s="25">
        <f t="shared" si="54"/>
        <v>-291262.5</v>
      </c>
      <c r="E85" s="25">
        <f t="shared" si="47"/>
        <v>0</v>
      </c>
      <c r="F85" s="3">
        <f>316704.1-19641.5</f>
        <v>297062.6</v>
      </c>
      <c r="G85" s="216">
        <f t="shared" si="63"/>
        <v>297062.6</v>
      </c>
      <c r="H85" s="219">
        <f>ROUND(F85*$T$7+F85*$T$8,1)-0.1</f>
        <v>297062.5</v>
      </c>
      <c r="I85" s="216">
        <v>297062.6</v>
      </c>
      <c r="J85" s="216">
        <v>297062.6</v>
      </c>
      <c r="K85" s="3">
        <v>0</v>
      </c>
      <c r="L85" s="3" t="e">
        <f>K85-#REF!</f>
        <v>#REF!</v>
      </c>
      <c r="M85" s="25">
        <f t="shared" si="38"/>
        <v>0</v>
      </c>
      <c r="N85" s="25">
        <f t="shared" si="51"/>
        <v>-297062.6</v>
      </c>
      <c r="O85" s="263">
        <f t="shared" si="56"/>
        <v>0</v>
      </c>
      <c r="P85" s="263">
        <f t="shared" si="57"/>
        <v>0</v>
      </c>
      <c r="Q85" s="263">
        <f t="shared" si="58"/>
        <v>-297062.5</v>
      </c>
      <c r="R85" s="263">
        <f t="shared" si="59"/>
        <v>-297062.6</v>
      </c>
      <c r="S85" s="88">
        <f t="shared" si="60"/>
        <v>0</v>
      </c>
      <c r="T85" s="176">
        <f t="shared" si="65"/>
        <v>24755.216666666664</v>
      </c>
      <c r="U85" s="89">
        <f t="shared" si="61"/>
        <v>0</v>
      </c>
      <c r="V85" s="89">
        <f t="shared" si="62"/>
        <v>0</v>
      </c>
      <c r="W85" s="248">
        <f t="shared" si="52"/>
        <v>0.09999999997671694</v>
      </c>
      <c r="X85" s="89">
        <f t="shared" si="53"/>
        <v>0</v>
      </c>
    </row>
    <row r="86" spans="1:24" s="91" customFormat="1" ht="75">
      <c r="A86" s="177" t="s">
        <v>287</v>
      </c>
      <c r="B86" s="27">
        <v>41030800</v>
      </c>
      <c r="C86" s="1">
        <v>583483.1</v>
      </c>
      <c r="D86" s="25">
        <f t="shared" si="54"/>
        <v>-583483.1</v>
      </c>
      <c r="E86" s="25">
        <f t="shared" si="47"/>
        <v>0</v>
      </c>
      <c r="F86" s="3">
        <v>583486.8</v>
      </c>
      <c r="G86" s="216">
        <f t="shared" si="63"/>
        <v>583486.8</v>
      </c>
      <c r="H86" s="219">
        <f>ROUND(F86*$T$7+F86*$T$8,1)-0.1</f>
        <v>583486.7000000001</v>
      </c>
      <c r="I86" s="216">
        <v>583486.8</v>
      </c>
      <c r="J86" s="216">
        <v>573673.7999999999</v>
      </c>
      <c r="K86" s="3">
        <v>0</v>
      </c>
      <c r="L86" s="3" t="e">
        <f>K86-#REF!</f>
        <v>#REF!</v>
      </c>
      <c r="M86" s="25">
        <f t="shared" si="38"/>
        <v>0</v>
      </c>
      <c r="N86" s="25">
        <f t="shared" si="51"/>
        <v>-583486.8</v>
      </c>
      <c r="O86" s="263">
        <f t="shared" si="56"/>
        <v>0</v>
      </c>
      <c r="P86" s="263">
        <f t="shared" si="57"/>
        <v>0</v>
      </c>
      <c r="Q86" s="263">
        <f t="shared" si="58"/>
        <v>-583486.7000000001</v>
      </c>
      <c r="R86" s="263">
        <f t="shared" si="59"/>
        <v>-573673.7999999999</v>
      </c>
      <c r="S86" s="88">
        <f t="shared" si="60"/>
        <v>0</v>
      </c>
      <c r="T86" s="176">
        <f t="shared" si="65"/>
        <v>48623.9</v>
      </c>
      <c r="U86" s="89">
        <f t="shared" si="61"/>
        <v>0</v>
      </c>
      <c r="V86" s="89">
        <f t="shared" si="62"/>
        <v>0</v>
      </c>
      <c r="W86" s="248">
        <f t="shared" si="52"/>
        <v>0.09999999997671694</v>
      </c>
      <c r="X86" s="89">
        <f t="shared" si="53"/>
        <v>9813.000000000116</v>
      </c>
    </row>
    <row r="87" spans="1:24" s="92" customFormat="1" ht="165" hidden="1">
      <c r="A87" s="177" t="s">
        <v>290</v>
      </c>
      <c r="B87" s="27">
        <v>41030901</v>
      </c>
      <c r="C87" s="3"/>
      <c r="D87" s="25">
        <f t="shared" si="54"/>
        <v>0</v>
      </c>
      <c r="E87" s="14" t="e">
        <f t="shared" si="47"/>
        <v>#DIV/0!</v>
      </c>
      <c r="F87" s="3">
        <f>SUM(F88:F90)</f>
        <v>0</v>
      </c>
      <c r="G87" s="216">
        <f t="shared" si="63"/>
        <v>0</v>
      </c>
      <c r="H87" s="216">
        <f t="shared" si="64"/>
        <v>0</v>
      </c>
      <c r="I87" s="216"/>
      <c r="J87" s="216"/>
      <c r="K87" s="3">
        <f>SUM(K88:K90)</f>
        <v>0</v>
      </c>
      <c r="L87" s="3" t="e">
        <f>K87-#REF!</f>
        <v>#REF!</v>
      </c>
      <c r="M87" s="14" t="e">
        <f t="shared" si="38"/>
        <v>#DIV/0!</v>
      </c>
      <c r="N87" s="25">
        <f t="shared" si="51"/>
        <v>0</v>
      </c>
      <c r="O87" s="264" t="e">
        <f t="shared" si="56"/>
        <v>#DIV/0!</v>
      </c>
      <c r="P87" s="264" t="e">
        <f t="shared" si="57"/>
        <v>#DIV/0!</v>
      </c>
      <c r="Q87" s="263">
        <f t="shared" si="58"/>
        <v>0</v>
      </c>
      <c r="R87" s="263">
        <f t="shared" si="59"/>
        <v>0</v>
      </c>
      <c r="S87" s="88">
        <f t="shared" si="60"/>
        <v>0</v>
      </c>
      <c r="T87" s="176">
        <f t="shared" si="65"/>
        <v>0</v>
      </c>
      <c r="U87" s="89" t="e">
        <f t="shared" si="61"/>
        <v>#DIV/0!</v>
      </c>
      <c r="V87" s="89" t="e">
        <f t="shared" si="62"/>
        <v>#DIV/0!</v>
      </c>
      <c r="W87" s="248">
        <f t="shared" si="52"/>
        <v>0</v>
      </c>
      <c r="X87" s="89">
        <f t="shared" si="53"/>
        <v>0</v>
      </c>
    </row>
    <row r="88" spans="1:24" s="158" customFormat="1" ht="20.25" hidden="1">
      <c r="A88" s="144" t="s">
        <v>232</v>
      </c>
      <c r="B88" s="157"/>
      <c r="C88" s="8">
        <v>1322.1</v>
      </c>
      <c r="D88" s="25">
        <f t="shared" si="54"/>
        <v>-1322.1</v>
      </c>
      <c r="E88" s="14">
        <f t="shared" si="47"/>
        <v>0</v>
      </c>
      <c r="F88" s="8"/>
      <c r="G88" s="217">
        <f t="shared" si="63"/>
        <v>0</v>
      </c>
      <c r="H88" s="217">
        <f t="shared" si="64"/>
        <v>0</v>
      </c>
      <c r="I88" s="216" t="e">
        <v>#N/A</v>
      </c>
      <c r="J88" s="217"/>
      <c r="K88" s="8"/>
      <c r="L88" s="3" t="e">
        <f>K88-#REF!</f>
        <v>#REF!</v>
      </c>
      <c r="M88" s="34" t="e">
        <f t="shared" si="38"/>
        <v>#DIV/0!</v>
      </c>
      <c r="N88" s="25">
        <f t="shared" si="51"/>
        <v>0</v>
      </c>
      <c r="O88" s="264" t="e">
        <f t="shared" si="56"/>
        <v>#DIV/0!</v>
      </c>
      <c r="P88" s="265" t="e">
        <f t="shared" si="57"/>
        <v>#DIV/0!</v>
      </c>
      <c r="Q88" s="263">
        <f t="shared" si="58"/>
        <v>0</v>
      </c>
      <c r="R88" s="263">
        <f t="shared" si="59"/>
        <v>0</v>
      </c>
      <c r="S88" s="88">
        <f t="shared" si="60"/>
        <v>0</v>
      </c>
      <c r="T88" s="176">
        <f t="shared" si="65"/>
        <v>0</v>
      </c>
      <c r="U88" s="89" t="e">
        <f t="shared" si="61"/>
        <v>#DIV/0!</v>
      </c>
      <c r="V88" s="89" t="e">
        <f t="shared" si="62"/>
        <v>#DIV/0!</v>
      </c>
      <c r="W88" s="248">
        <f t="shared" si="52"/>
        <v>0</v>
      </c>
      <c r="X88" s="89" t="e">
        <f t="shared" si="53"/>
        <v>#N/A</v>
      </c>
    </row>
    <row r="89" spans="1:24" s="158" customFormat="1" ht="20.25" hidden="1">
      <c r="A89" s="144" t="s">
        <v>233</v>
      </c>
      <c r="B89" s="157"/>
      <c r="C89" s="8">
        <v>99.2</v>
      </c>
      <c r="D89" s="25">
        <f t="shared" si="54"/>
        <v>-99.2</v>
      </c>
      <c r="E89" s="14">
        <f t="shared" si="47"/>
        <v>0</v>
      </c>
      <c r="F89" s="8"/>
      <c r="G89" s="217">
        <f t="shared" si="63"/>
        <v>0</v>
      </c>
      <c r="H89" s="217">
        <f t="shared" si="64"/>
        <v>0</v>
      </c>
      <c r="I89" s="216" t="e">
        <v>#N/A</v>
      </c>
      <c r="J89" s="217"/>
      <c r="K89" s="8"/>
      <c r="L89" s="3" t="e">
        <f>K89-#REF!</f>
        <v>#REF!</v>
      </c>
      <c r="M89" s="34" t="e">
        <f t="shared" si="38"/>
        <v>#DIV/0!</v>
      </c>
      <c r="N89" s="25">
        <f t="shared" si="51"/>
        <v>0</v>
      </c>
      <c r="O89" s="264" t="e">
        <f t="shared" si="56"/>
        <v>#DIV/0!</v>
      </c>
      <c r="P89" s="265" t="e">
        <f t="shared" si="57"/>
        <v>#DIV/0!</v>
      </c>
      <c r="Q89" s="263">
        <f t="shared" si="58"/>
        <v>0</v>
      </c>
      <c r="R89" s="263">
        <f t="shared" si="59"/>
        <v>0</v>
      </c>
      <c r="S89" s="88">
        <f t="shared" si="60"/>
        <v>0</v>
      </c>
      <c r="T89" s="176">
        <f t="shared" si="65"/>
        <v>0</v>
      </c>
      <c r="U89" s="89" t="e">
        <f t="shared" si="61"/>
        <v>#DIV/0!</v>
      </c>
      <c r="V89" s="89" t="e">
        <f t="shared" si="62"/>
        <v>#DIV/0!</v>
      </c>
      <c r="W89" s="248">
        <f t="shared" si="52"/>
        <v>0</v>
      </c>
      <c r="X89" s="89" t="e">
        <f t="shared" si="53"/>
        <v>#N/A</v>
      </c>
    </row>
    <row r="90" spans="1:24" s="158" customFormat="1" ht="20.25" hidden="1">
      <c r="A90" s="144" t="s">
        <v>234</v>
      </c>
      <c r="B90" s="157"/>
      <c r="C90" s="8">
        <v>0.3</v>
      </c>
      <c r="D90" s="25">
        <f t="shared" si="54"/>
        <v>-0.3</v>
      </c>
      <c r="E90" s="14">
        <f t="shared" si="47"/>
        <v>0</v>
      </c>
      <c r="F90" s="8"/>
      <c r="G90" s="217">
        <f t="shared" si="63"/>
        <v>0</v>
      </c>
      <c r="H90" s="217">
        <f t="shared" si="64"/>
        <v>0</v>
      </c>
      <c r="I90" s="216" t="e">
        <v>#N/A</v>
      </c>
      <c r="J90" s="217"/>
      <c r="K90" s="8"/>
      <c r="L90" s="3" t="e">
        <f>K90-#REF!</f>
        <v>#REF!</v>
      </c>
      <c r="M90" s="34" t="e">
        <f t="shared" si="38"/>
        <v>#DIV/0!</v>
      </c>
      <c r="N90" s="25">
        <f t="shared" si="51"/>
        <v>0</v>
      </c>
      <c r="O90" s="264" t="e">
        <f t="shared" si="56"/>
        <v>#DIV/0!</v>
      </c>
      <c r="P90" s="265" t="e">
        <f t="shared" si="57"/>
        <v>#DIV/0!</v>
      </c>
      <c r="Q90" s="263">
        <f t="shared" si="58"/>
        <v>0</v>
      </c>
      <c r="R90" s="263">
        <f t="shared" si="59"/>
        <v>0</v>
      </c>
      <c r="S90" s="88">
        <f t="shared" si="60"/>
        <v>0</v>
      </c>
      <c r="T90" s="176">
        <f t="shared" si="65"/>
        <v>0</v>
      </c>
      <c r="U90" s="89" t="e">
        <f t="shared" si="61"/>
        <v>#DIV/0!</v>
      </c>
      <c r="V90" s="89" t="e">
        <f t="shared" si="62"/>
        <v>#DIV/0!</v>
      </c>
      <c r="W90" s="248">
        <f t="shared" si="52"/>
        <v>0</v>
      </c>
      <c r="X90" s="89" t="e">
        <f t="shared" si="53"/>
        <v>#N/A</v>
      </c>
    </row>
    <row r="91" spans="1:24" s="91" customFormat="1" ht="45">
      <c r="A91" s="26" t="s">
        <v>235</v>
      </c>
      <c r="B91" s="27">
        <v>41031000</v>
      </c>
      <c r="C91" s="3">
        <v>285</v>
      </c>
      <c r="D91" s="25">
        <f t="shared" si="54"/>
        <v>-285</v>
      </c>
      <c r="E91" s="25">
        <f t="shared" si="47"/>
        <v>0</v>
      </c>
      <c r="F91" s="3">
        <f>313.5-12.6-15.8-0.1</f>
        <v>284.99999999999994</v>
      </c>
      <c r="G91" s="216">
        <f t="shared" si="63"/>
        <v>285</v>
      </c>
      <c r="H91" s="219">
        <f t="shared" si="64"/>
        <v>285</v>
      </c>
      <c r="I91" s="216">
        <v>285</v>
      </c>
      <c r="J91" s="216">
        <v>276.9</v>
      </c>
      <c r="K91" s="3">
        <v>0</v>
      </c>
      <c r="L91" s="3" t="e">
        <f>K91-#REF!</f>
        <v>#REF!</v>
      </c>
      <c r="M91" s="25">
        <f t="shared" si="38"/>
        <v>0</v>
      </c>
      <c r="N91" s="25">
        <f t="shared" si="51"/>
        <v>-284.99999999999994</v>
      </c>
      <c r="O91" s="263">
        <f t="shared" si="56"/>
        <v>0</v>
      </c>
      <c r="P91" s="263">
        <f t="shared" si="57"/>
        <v>0</v>
      </c>
      <c r="Q91" s="263">
        <f t="shared" si="58"/>
        <v>-285</v>
      </c>
      <c r="R91" s="263">
        <f t="shared" si="59"/>
        <v>-276.9</v>
      </c>
      <c r="S91" s="88">
        <f t="shared" si="60"/>
        <v>0</v>
      </c>
      <c r="T91" s="176">
        <f t="shared" si="65"/>
        <v>23.749999999999996</v>
      </c>
      <c r="U91" s="89">
        <f t="shared" si="61"/>
        <v>0</v>
      </c>
      <c r="V91" s="89">
        <f t="shared" si="62"/>
        <v>0</v>
      </c>
      <c r="W91" s="248">
        <f t="shared" si="52"/>
        <v>0</v>
      </c>
      <c r="X91" s="89">
        <f t="shared" si="53"/>
        <v>8.100000000000023</v>
      </c>
    </row>
    <row r="92" spans="1:24" s="91" customFormat="1" ht="45">
      <c r="A92" s="310" t="s">
        <v>312</v>
      </c>
      <c r="B92" s="24">
        <v>41033600</v>
      </c>
      <c r="C92" s="3"/>
      <c r="D92" s="25">
        <f>K92-C92</f>
        <v>0</v>
      </c>
      <c r="E92" s="122" t="e">
        <f>K92/C92*100</f>
        <v>#DIV/0!</v>
      </c>
      <c r="F92" s="3">
        <f>3360.4+1344.2</f>
        <v>4704.6</v>
      </c>
      <c r="G92" s="216">
        <f t="shared" si="63"/>
        <v>4704.6</v>
      </c>
      <c r="H92" s="219">
        <f>ROUND(F92*$T$7+F92*$T$8,1)-0.1</f>
        <v>4704.5</v>
      </c>
      <c r="I92" s="216">
        <v>4704.6</v>
      </c>
      <c r="J92" s="216">
        <v>4511.9</v>
      </c>
      <c r="K92" s="3">
        <v>0</v>
      </c>
      <c r="L92" s="3" t="e">
        <f>K92-#REF!</f>
        <v>#REF!</v>
      </c>
      <c r="M92" s="25">
        <f t="shared" si="38"/>
        <v>0</v>
      </c>
      <c r="N92" s="25">
        <f t="shared" si="51"/>
        <v>-4704.6</v>
      </c>
      <c r="O92" s="263">
        <f t="shared" si="56"/>
        <v>0</v>
      </c>
      <c r="P92" s="263">
        <f t="shared" si="57"/>
        <v>0</v>
      </c>
      <c r="Q92" s="263">
        <f t="shared" si="58"/>
        <v>-4704.5</v>
      </c>
      <c r="R92" s="263">
        <f t="shared" si="59"/>
        <v>-4511.9</v>
      </c>
      <c r="S92" s="88"/>
      <c r="T92" s="176"/>
      <c r="U92" s="89"/>
      <c r="V92" s="89"/>
      <c r="W92" s="248">
        <f t="shared" si="52"/>
        <v>0.1000000000003638</v>
      </c>
      <c r="X92" s="89">
        <f t="shared" si="53"/>
        <v>192.70000000000073</v>
      </c>
    </row>
    <row r="93" spans="1:24" s="91" customFormat="1" ht="45">
      <c r="A93" s="310" t="s">
        <v>106</v>
      </c>
      <c r="B93" s="24">
        <v>41033800</v>
      </c>
      <c r="C93" s="3"/>
      <c r="D93" s="25">
        <f>K93-C93</f>
        <v>2298.6</v>
      </c>
      <c r="E93" s="122" t="e">
        <f>K93/C93*100</f>
        <v>#DIV/0!</v>
      </c>
      <c r="F93" s="3">
        <v>330</v>
      </c>
      <c r="G93" s="216">
        <f t="shared" si="63"/>
        <v>330</v>
      </c>
      <c r="H93" s="219">
        <f t="shared" si="64"/>
        <v>330</v>
      </c>
      <c r="I93" s="216">
        <v>330</v>
      </c>
      <c r="J93" s="216">
        <v>330</v>
      </c>
      <c r="K93" s="3">
        <v>2298.6</v>
      </c>
      <c r="L93" s="3" t="e">
        <f>K93-#REF!</f>
        <v>#REF!</v>
      </c>
      <c r="M93" s="25">
        <f>K93/F93*100</f>
        <v>696.5454545454545</v>
      </c>
      <c r="N93" s="25">
        <f t="shared" si="51"/>
        <v>1968.6</v>
      </c>
      <c r="O93" s="263">
        <f t="shared" si="56"/>
        <v>696.5454545454545</v>
      </c>
      <c r="P93" s="263">
        <f t="shared" si="57"/>
        <v>696.5454545454545</v>
      </c>
      <c r="Q93" s="263">
        <f t="shared" si="58"/>
        <v>1968.6</v>
      </c>
      <c r="R93" s="263">
        <f t="shared" si="59"/>
        <v>1968.6</v>
      </c>
      <c r="S93" s="88"/>
      <c r="T93" s="176"/>
      <c r="U93" s="89"/>
      <c r="V93" s="89"/>
      <c r="W93" s="248">
        <f t="shared" si="52"/>
        <v>0</v>
      </c>
      <c r="X93" s="89">
        <f t="shared" si="53"/>
        <v>0</v>
      </c>
    </row>
    <row r="94" spans="1:24" s="91" customFormat="1" ht="20.25">
      <c r="A94" s="26" t="s">
        <v>37</v>
      </c>
      <c r="B94" s="27">
        <v>41033900</v>
      </c>
      <c r="C94" s="3">
        <v>224563.9</v>
      </c>
      <c r="D94" s="25">
        <f t="shared" si="54"/>
        <v>-224563.9</v>
      </c>
      <c r="E94" s="25">
        <f t="shared" si="47"/>
        <v>0</v>
      </c>
      <c r="F94" s="3">
        <v>224563.9</v>
      </c>
      <c r="G94" s="216">
        <f t="shared" si="63"/>
        <v>224563.9</v>
      </c>
      <c r="H94" s="219">
        <f t="shared" si="64"/>
        <v>224563.9</v>
      </c>
      <c r="I94" s="216">
        <v>224563.9</v>
      </c>
      <c r="J94" s="216">
        <v>219101.8</v>
      </c>
      <c r="K94" s="3">
        <v>0</v>
      </c>
      <c r="L94" s="3" t="e">
        <f>K94-#REF!</f>
        <v>#REF!</v>
      </c>
      <c r="M94" s="25">
        <f t="shared" si="38"/>
        <v>0</v>
      </c>
      <c r="N94" s="25">
        <f t="shared" si="51"/>
        <v>-224563.9</v>
      </c>
      <c r="O94" s="263">
        <f t="shared" si="56"/>
        <v>0</v>
      </c>
      <c r="P94" s="263">
        <f t="shared" si="57"/>
        <v>0</v>
      </c>
      <c r="Q94" s="263">
        <f t="shared" si="58"/>
        <v>-224563.9</v>
      </c>
      <c r="R94" s="263">
        <f t="shared" si="59"/>
        <v>-219101.8</v>
      </c>
      <c r="S94" s="88">
        <f aca="true" t="shared" si="66" ref="S94:S102">K94-H94-Q94</f>
        <v>0</v>
      </c>
      <c r="T94" s="176">
        <f aca="true" t="shared" si="67" ref="T94:T102">F94/12</f>
        <v>18713.658333333333</v>
      </c>
      <c r="U94" s="89">
        <f aca="true" t="shared" si="68" ref="U94:U102">K94/F94*100-M94</f>
        <v>0</v>
      </c>
      <c r="V94" s="89">
        <f aca="true" t="shared" si="69" ref="V94:V102">K94/H94*100-O94</f>
        <v>0</v>
      </c>
      <c r="W94" s="248">
        <f t="shared" si="52"/>
        <v>0</v>
      </c>
      <c r="X94" s="89">
        <f t="shared" si="53"/>
        <v>5462.100000000006</v>
      </c>
    </row>
    <row r="95" spans="1:24" s="91" customFormat="1" ht="20.25">
      <c r="A95" s="23" t="s">
        <v>31</v>
      </c>
      <c r="B95" s="24"/>
      <c r="C95" s="3">
        <v>0</v>
      </c>
      <c r="D95" s="25">
        <f t="shared" si="54"/>
        <v>0</v>
      </c>
      <c r="E95" s="93" t="e">
        <f t="shared" si="47"/>
        <v>#DIV/0!</v>
      </c>
      <c r="F95" s="3"/>
      <c r="G95" s="216">
        <f t="shared" si="63"/>
        <v>0</v>
      </c>
      <c r="H95" s="216">
        <f t="shared" si="64"/>
        <v>0</v>
      </c>
      <c r="I95" s="216"/>
      <c r="J95" s="216"/>
      <c r="K95" s="3"/>
      <c r="L95" s="3" t="e">
        <f>K95-#REF!</f>
        <v>#REF!</v>
      </c>
      <c r="M95" s="93" t="e">
        <f>K95/F95*100</f>
        <v>#DIV/0!</v>
      </c>
      <c r="N95" s="25">
        <f t="shared" si="51"/>
        <v>0</v>
      </c>
      <c r="O95" s="268" t="e">
        <f t="shared" si="56"/>
        <v>#DIV/0!</v>
      </c>
      <c r="P95" s="268" t="e">
        <f t="shared" si="57"/>
        <v>#DIV/0!</v>
      </c>
      <c r="Q95" s="263">
        <f t="shared" si="58"/>
        <v>0</v>
      </c>
      <c r="R95" s="263">
        <f t="shared" si="59"/>
        <v>0</v>
      </c>
      <c r="S95" s="88">
        <f t="shared" si="66"/>
        <v>0</v>
      </c>
      <c r="T95" s="176">
        <f t="shared" si="67"/>
        <v>0</v>
      </c>
      <c r="U95" s="89" t="e">
        <f t="shared" si="68"/>
        <v>#DIV/0!</v>
      </c>
      <c r="V95" s="89" t="e">
        <f t="shared" si="69"/>
        <v>#DIV/0!</v>
      </c>
      <c r="W95" s="248">
        <f t="shared" si="52"/>
        <v>0</v>
      </c>
      <c r="X95" s="89">
        <f t="shared" si="53"/>
        <v>0</v>
      </c>
    </row>
    <row r="96" spans="1:24" s="91" customFormat="1" ht="20.25">
      <c r="A96" s="26" t="s">
        <v>36</v>
      </c>
      <c r="B96" s="27">
        <v>41034200</v>
      </c>
      <c r="C96" s="3">
        <v>241650</v>
      </c>
      <c r="D96" s="25">
        <f t="shared" si="54"/>
        <v>12572.5</v>
      </c>
      <c r="E96" s="25">
        <f t="shared" si="47"/>
        <v>105.20277260500723</v>
      </c>
      <c r="F96" s="3">
        <f>225757.5+F97+F103</f>
        <v>248997.1</v>
      </c>
      <c r="G96" s="216">
        <f t="shared" si="63"/>
        <v>248997.1</v>
      </c>
      <c r="H96" s="219">
        <f t="shared" si="64"/>
        <v>248997.1</v>
      </c>
      <c r="I96" s="216">
        <v>248997.2</v>
      </c>
      <c r="J96" s="216">
        <v>241954.6</v>
      </c>
      <c r="K96" s="3">
        <v>254222.5</v>
      </c>
      <c r="L96" s="3" t="e">
        <f>K96-#REF!</f>
        <v>#REF!</v>
      </c>
      <c r="M96" s="25">
        <f t="shared" si="38"/>
        <v>102.09857865814502</v>
      </c>
      <c r="N96" s="25">
        <f t="shared" si="51"/>
        <v>5225.399999999994</v>
      </c>
      <c r="O96" s="263">
        <f t="shared" si="56"/>
        <v>102.09857865814502</v>
      </c>
      <c r="P96" s="263">
        <f t="shared" si="57"/>
        <v>105.07033137621687</v>
      </c>
      <c r="Q96" s="263">
        <f t="shared" si="58"/>
        <v>5225.399999999994</v>
      </c>
      <c r="R96" s="263">
        <f t="shared" si="59"/>
        <v>12267.899999999994</v>
      </c>
      <c r="S96" s="88">
        <f t="shared" si="66"/>
        <v>0</v>
      </c>
      <c r="T96" s="176">
        <f t="shared" si="67"/>
        <v>20749.758333333335</v>
      </c>
      <c r="U96" s="89">
        <f t="shared" si="68"/>
        <v>0</v>
      </c>
      <c r="V96" s="89">
        <f t="shared" si="69"/>
        <v>0</v>
      </c>
      <c r="W96" s="248">
        <f t="shared" si="52"/>
        <v>0</v>
      </c>
      <c r="X96" s="89">
        <f t="shared" si="53"/>
        <v>7042.600000000006</v>
      </c>
    </row>
    <row r="97" spans="1:24" s="91" customFormat="1" ht="20.25">
      <c r="A97" s="26" t="s">
        <v>32</v>
      </c>
      <c r="B97" s="27"/>
      <c r="C97" s="3">
        <f>C100+C102+C98+C99+C101</f>
        <v>15892.5</v>
      </c>
      <c r="D97" s="25">
        <f t="shared" si="54"/>
        <v>6294.5999999999985</v>
      </c>
      <c r="E97" s="25">
        <f t="shared" si="47"/>
        <v>139.60736196319016</v>
      </c>
      <c r="F97" s="3">
        <f aca="true" t="shared" si="70" ref="F97:L97">F100+F102+F98+F99+F101</f>
        <v>22262</v>
      </c>
      <c r="G97" s="216">
        <f t="shared" si="70"/>
        <v>22262</v>
      </c>
      <c r="H97" s="216">
        <f t="shared" si="70"/>
        <v>22262</v>
      </c>
      <c r="I97" s="216">
        <f t="shared" si="70"/>
        <v>22262.1</v>
      </c>
      <c r="J97" s="216">
        <f t="shared" si="70"/>
        <v>20947.2</v>
      </c>
      <c r="K97" s="3">
        <f t="shared" si="70"/>
        <v>22187.1</v>
      </c>
      <c r="L97" s="3" t="e">
        <f t="shared" si="70"/>
        <v>#REF!</v>
      </c>
      <c r="M97" s="25">
        <f t="shared" si="38"/>
        <v>99.66355224148774</v>
      </c>
      <c r="N97" s="25">
        <f t="shared" si="51"/>
        <v>-74.90000000000146</v>
      </c>
      <c r="O97" s="263">
        <f t="shared" si="56"/>
        <v>99.66355224148774</v>
      </c>
      <c r="P97" s="263">
        <f t="shared" si="57"/>
        <v>105.91916819431712</v>
      </c>
      <c r="Q97" s="263">
        <f t="shared" si="58"/>
        <v>-74.90000000000146</v>
      </c>
      <c r="R97" s="263">
        <f t="shared" si="59"/>
        <v>1239.8999999999978</v>
      </c>
      <c r="S97" s="88">
        <f t="shared" si="66"/>
        <v>0</v>
      </c>
      <c r="T97" s="176">
        <f t="shared" si="67"/>
        <v>1855.1666666666667</v>
      </c>
      <c r="U97" s="89">
        <f t="shared" si="68"/>
        <v>0</v>
      </c>
      <c r="V97" s="89">
        <f t="shared" si="69"/>
        <v>0</v>
      </c>
      <c r="W97" s="248">
        <f t="shared" si="52"/>
        <v>0</v>
      </c>
      <c r="X97" s="89">
        <f t="shared" si="53"/>
        <v>1314.8999999999978</v>
      </c>
    </row>
    <row r="98" spans="1:24" s="91" customFormat="1" ht="45">
      <c r="A98" s="26" t="s">
        <v>122</v>
      </c>
      <c r="B98" s="27"/>
      <c r="C98" s="3">
        <v>203.5</v>
      </c>
      <c r="D98" s="25">
        <f>K98-C98</f>
        <v>156.3</v>
      </c>
      <c r="E98" s="25">
        <f>K98/C98*100</f>
        <v>176.8058968058968</v>
      </c>
      <c r="F98" s="3">
        <f>336.4+30</f>
        <v>366.4</v>
      </c>
      <c r="G98" s="216">
        <f>ROUND(F98*$T$6,1)</f>
        <v>366.4</v>
      </c>
      <c r="H98" s="219">
        <f>ROUND(F98*$T$7+F98*$T$8,1)</f>
        <v>366.4</v>
      </c>
      <c r="I98" s="216">
        <v>366.4</v>
      </c>
      <c r="J98" s="216">
        <v>353.4</v>
      </c>
      <c r="K98" s="3">
        <v>359.8</v>
      </c>
      <c r="L98" s="3" t="e">
        <f>K98-#REF!</f>
        <v>#REF!</v>
      </c>
      <c r="M98" s="25">
        <f t="shared" si="38"/>
        <v>98.19868995633189</v>
      </c>
      <c r="N98" s="25">
        <f t="shared" si="51"/>
        <v>-6.599999999999966</v>
      </c>
      <c r="O98" s="263">
        <f t="shared" si="56"/>
        <v>98.19868995633189</v>
      </c>
      <c r="P98" s="263">
        <f t="shared" si="57"/>
        <v>101.81097906055463</v>
      </c>
      <c r="Q98" s="263">
        <f t="shared" si="58"/>
        <v>-6.599999999999966</v>
      </c>
      <c r="R98" s="263">
        <f t="shared" si="59"/>
        <v>6.400000000000034</v>
      </c>
      <c r="S98" s="88">
        <f t="shared" si="66"/>
        <v>0</v>
      </c>
      <c r="T98" s="176">
        <f t="shared" si="67"/>
        <v>30.53333333333333</v>
      </c>
      <c r="U98" s="89">
        <f t="shared" si="68"/>
        <v>0</v>
      </c>
      <c r="V98" s="89">
        <f t="shared" si="69"/>
        <v>0</v>
      </c>
      <c r="W98" s="248">
        <f t="shared" si="52"/>
        <v>0</v>
      </c>
      <c r="X98" s="89">
        <f t="shared" si="53"/>
        <v>13</v>
      </c>
    </row>
    <row r="99" spans="1:24" s="91" customFormat="1" ht="45">
      <c r="A99" s="26" t="s">
        <v>129</v>
      </c>
      <c r="B99" s="27"/>
      <c r="C99" s="3">
        <v>275.6</v>
      </c>
      <c r="D99" s="25">
        <f>K99-C99</f>
        <v>325.1</v>
      </c>
      <c r="E99" s="25">
        <f>K99/C99*100</f>
        <v>217.96081277213352</v>
      </c>
      <c r="F99" s="3">
        <f>610.6-0.1</f>
        <v>610.5</v>
      </c>
      <c r="G99" s="216">
        <f>ROUND(F99*$T$6,1)</f>
        <v>610.5</v>
      </c>
      <c r="H99" s="219">
        <f>ROUND(F99*$T$7+F99*$T$8,1)</f>
        <v>610.5</v>
      </c>
      <c r="I99" s="216">
        <v>610.6</v>
      </c>
      <c r="J99" s="216">
        <v>518.7</v>
      </c>
      <c r="K99" s="3">
        <v>600.7</v>
      </c>
      <c r="L99" s="3" t="e">
        <f>K99-#REF!</f>
        <v>#REF!</v>
      </c>
      <c r="M99" s="25">
        <f t="shared" si="38"/>
        <v>98.3947583947584</v>
      </c>
      <c r="N99" s="25">
        <f t="shared" si="51"/>
        <v>-9.799999999999955</v>
      </c>
      <c r="O99" s="263">
        <f t="shared" si="56"/>
        <v>98.3947583947584</v>
      </c>
      <c r="P99" s="263">
        <f t="shared" si="57"/>
        <v>115.80875265085791</v>
      </c>
      <c r="Q99" s="263">
        <f t="shared" si="58"/>
        <v>-9.799999999999955</v>
      </c>
      <c r="R99" s="263">
        <f t="shared" si="59"/>
        <v>82</v>
      </c>
      <c r="S99" s="88">
        <f t="shared" si="66"/>
        <v>0</v>
      </c>
      <c r="T99" s="176">
        <f t="shared" si="67"/>
        <v>50.875</v>
      </c>
      <c r="U99" s="89">
        <f t="shared" si="68"/>
        <v>0</v>
      </c>
      <c r="V99" s="89">
        <f t="shared" si="69"/>
        <v>0</v>
      </c>
      <c r="W99" s="248">
        <f t="shared" si="52"/>
        <v>0</v>
      </c>
      <c r="X99" s="89">
        <f t="shared" si="53"/>
        <v>91.89999999999998</v>
      </c>
    </row>
    <row r="100" spans="1:24" s="91" customFormat="1" ht="20.25">
      <c r="A100" s="26" t="s">
        <v>152</v>
      </c>
      <c r="B100" s="27"/>
      <c r="C100" s="3">
        <v>4573.6</v>
      </c>
      <c r="D100" s="25">
        <f t="shared" si="54"/>
        <v>3231.7</v>
      </c>
      <c r="E100" s="14"/>
      <c r="F100" s="3">
        <f>5312.3+883.2+1668.3</f>
        <v>7863.8</v>
      </c>
      <c r="G100" s="216">
        <f>ROUND(F100*$T$6,1)</f>
        <v>7863.8</v>
      </c>
      <c r="H100" s="219">
        <f>ROUND(F100*$T$7+F100*$T$8,1)</f>
        <v>7863.8</v>
      </c>
      <c r="I100" s="216">
        <v>7863.8</v>
      </c>
      <c r="J100" s="216">
        <v>7288.1</v>
      </c>
      <c r="K100" s="3">
        <v>7805.3</v>
      </c>
      <c r="L100" s="3" t="e">
        <f>K100-#REF!</f>
        <v>#REF!</v>
      </c>
      <c r="M100" s="25">
        <f t="shared" si="38"/>
        <v>99.25608484447721</v>
      </c>
      <c r="N100" s="25">
        <f t="shared" si="51"/>
        <v>-58.5</v>
      </c>
      <c r="O100" s="263">
        <f t="shared" si="56"/>
        <v>99.25608484447721</v>
      </c>
      <c r="P100" s="263">
        <f t="shared" si="57"/>
        <v>107.09649977360354</v>
      </c>
      <c r="Q100" s="263">
        <f t="shared" si="58"/>
        <v>-58.5</v>
      </c>
      <c r="R100" s="263">
        <f t="shared" si="59"/>
        <v>517.1999999999998</v>
      </c>
      <c r="S100" s="88">
        <f t="shared" si="66"/>
        <v>0</v>
      </c>
      <c r="T100" s="176">
        <f t="shared" si="67"/>
        <v>655.3166666666667</v>
      </c>
      <c r="U100" s="89">
        <f t="shared" si="68"/>
        <v>0</v>
      </c>
      <c r="V100" s="89">
        <f t="shared" si="69"/>
        <v>0</v>
      </c>
      <c r="W100" s="248">
        <f t="shared" si="52"/>
        <v>0</v>
      </c>
      <c r="X100" s="89">
        <f t="shared" si="53"/>
        <v>575.6999999999998</v>
      </c>
    </row>
    <row r="101" spans="1:24" s="91" customFormat="1" ht="45">
      <c r="A101" s="26" t="s">
        <v>307</v>
      </c>
      <c r="B101" s="27"/>
      <c r="C101" s="3">
        <v>2000</v>
      </c>
      <c r="D101" s="25">
        <f t="shared" si="54"/>
        <v>-2000</v>
      </c>
      <c r="E101" s="14"/>
      <c r="F101" s="3"/>
      <c r="G101" s="216">
        <f>ROUND(F101*$T$6,1)</f>
        <v>0</v>
      </c>
      <c r="H101" s="219">
        <f>ROUND(F101*$T$7+F101*$T$8,1)</f>
        <v>0</v>
      </c>
      <c r="I101" s="216"/>
      <c r="J101" s="216"/>
      <c r="K101" s="3"/>
      <c r="L101" s="3" t="e">
        <f>K101-#REF!</f>
        <v>#REF!</v>
      </c>
      <c r="M101" s="93" t="e">
        <f t="shared" si="38"/>
        <v>#DIV/0!</v>
      </c>
      <c r="N101" s="25">
        <f t="shared" si="51"/>
        <v>0</v>
      </c>
      <c r="O101" s="268" t="e">
        <f t="shared" si="56"/>
        <v>#DIV/0!</v>
      </c>
      <c r="P101" s="268" t="e">
        <f t="shared" si="57"/>
        <v>#DIV/0!</v>
      </c>
      <c r="Q101" s="263">
        <f t="shared" si="58"/>
        <v>0</v>
      </c>
      <c r="R101" s="263">
        <f t="shared" si="59"/>
        <v>0</v>
      </c>
      <c r="S101" s="88">
        <f t="shared" si="66"/>
        <v>0</v>
      </c>
      <c r="T101" s="176">
        <f t="shared" si="67"/>
        <v>0</v>
      </c>
      <c r="U101" s="89" t="e">
        <f t="shared" si="68"/>
        <v>#DIV/0!</v>
      </c>
      <c r="V101" s="89" t="e">
        <f t="shared" si="69"/>
        <v>#DIV/0!</v>
      </c>
      <c r="W101" s="248">
        <f t="shared" si="52"/>
        <v>0</v>
      </c>
      <c r="X101" s="89">
        <f t="shared" si="53"/>
        <v>0</v>
      </c>
    </row>
    <row r="102" spans="1:24" s="91" customFormat="1" ht="30">
      <c r="A102" s="26" t="s">
        <v>51</v>
      </c>
      <c r="B102" s="27"/>
      <c r="C102" s="3">
        <v>8839.8</v>
      </c>
      <c r="D102" s="25">
        <f>K102-C102</f>
        <v>4581.5</v>
      </c>
      <c r="E102" s="25">
        <f>K102/C102*100</f>
        <v>151.82809565827282</v>
      </c>
      <c r="F102" s="3">
        <f>11421.3+1000+1000</f>
        <v>13421.3</v>
      </c>
      <c r="G102" s="216">
        <f>ROUND(F102*$T$6,1)</f>
        <v>13421.3</v>
      </c>
      <c r="H102" s="219">
        <f>ROUND(F102*$T$7+F102*$T$8,1)</f>
        <v>13421.3</v>
      </c>
      <c r="I102" s="216">
        <v>13421.3</v>
      </c>
      <c r="J102" s="216">
        <v>12787</v>
      </c>
      <c r="K102" s="3">
        <v>13421.3</v>
      </c>
      <c r="L102" s="3" t="e">
        <f>K102-#REF!</f>
        <v>#REF!</v>
      </c>
      <c r="M102" s="25">
        <f t="shared" si="38"/>
        <v>100</v>
      </c>
      <c r="N102" s="25">
        <f t="shared" si="51"/>
        <v>0</v>
      </c>
      <c r="O102" s="263">
        <f t="shared" si="56"/>
        <v>100</v>
      </c>
      <c r="P102" s="263">
        <f t="shared" si="57"/>
        <v>104.96050676468288</v>
      </c>
      <c r="Q102" s="263">
        <f t="shared" si="58"/>
        <v>0</v>
      </c>
      <c r="R102" s="263">
        <f t="shared" si="59"/>
        <v>634.2999999999993</v>
      </c>
      <c r="S102" s="88">
        <f t="shared" si="66"/>
        <v>0</v>
      </c>
      <c r="T102" s="176">
        <f t="shared" si="67"/>
        <v>1118.4416666666666</v>
      </c>
      <c r="U102" s="89">
        <f t="shared" si="68"/>
        <v>0</v>
      </c>
      <c r="V102" s="89">
        <f t="shared" si="69"/>
        <v>0</v>
      </c>
      <c r="W102" s="248">
        <f t="shared" si="52"/>
        <v>0</v>
      </c>
      <c r="X102" s="89">
        <f t="shared" si="53"/>
        <v>634.2999999999993</v>
      </c>
    </row>
    <row r="103" spans="1:24" s="91" customFormat="1" ht="30">
      <c r="A103" s="26" t="s">
        <v>45</v>
      </c>
      <c r="B103" s="27"/>
      <c r="C103" s="3">
        <f>C104</f>
        <v>0</v>
      </c>
      <c r="D103" s="25">
        <f>K103-C103</f>
        <v>341</v>
      </c>
      <c r="E103" s="247" t="e">
        <f>K103/C103*100</f>
        <v>#DIV/0!</v>
      </c>
      <c r="F103" s="3">
        <f aca="true" t="shared" si="71" ref="F103:L103">F104</f>
        <v>977.6</v>
      </c>
      <c r="G103" s="216">
        <f t="shared" si="71"/>
        <v>977.6</v>
      </c>
      <c r="H103" s="216">
        <f t="shared" si="71"/>
        <v>977.6</v>
      </c>
      <c r="I103" s="216">
        <f t="shared" si="71"/>
        <v>977.6</v>
      </c>
      <c r="J103" s="216">
        <f t="shared" si="71"/>
        <v>894.5</v>
      </c>
      <c r="K103" s="3">
        <f t="shared" si="71"/>
        <v>341</v>
      </c>
      <c r="L103" s="3">
        <f t="shared" si="71"/>
        <v>341</v>
      </c>
      <c r="M103" s="25">
        <f>K103/F103*100</f>
        <v>34.88134206219313</v>
      </c>
      <c r="N103" s="25">
        <f t="shared" si="51"/>
        <v>-636.6</v>
      </c>
      <c r="O103" s="263">
        <f t="shared" si="56"/>
        <v>34.88134206219313</v>
      </c>
      <c r="P103" s="263">
        <f t="shared" si="57"/>
        <v>38.121855785354946</v>
      </c>
      <c r="Q103" s="263">
        <f t="shared" si="58"/>
        <v>-636.6</v>
      </c>
      <c r="R103" s="263">
        <f t="shared" si="59"/>
        <v>-553.5</v>
      </c>
      <c r="S103" s="88"/>
      <c r="T103" s="176"/>
      <c r="U103" s="89"/>
      <c r="V103" s="89"/>
      <c r="W103" s="248">
        <f t="shared" si="52"/>
        <v>0</v>
      </c>
      <c r="X103" s="89">
        <f t="shared" si="53"/>
        <v>83.10000000000002</v>
      </c>
    </row>
    <row r="104" spans="1:24" s="91" customFormat="1" ht="45">
      <c r="A104" s="26" t="s">
        <v>46</v>
      </c>
      <c r="B104" s="27"/>
      <c r="C104" s="3"/>
      <c r="D104" s="25">
        <f>K104-C104</f>
        <v>341</v>
      </c>
      <c r="E104" s="247" t="e">
        <f>K104/C104*100</f>
        <v>#DIV/0!</v>
      </c>
      <c r="F104" s="3">
        <v>977.6</v>
      </c>
      <c r="G104" s="216">
        <f>ROUND(F104*$T$6,1)</f>
        <v>977.6</v>
      </c>
      <c r="H104" s="219">
        <f>ROUND(F104*$T$7+F104*$T$8,1)</f>
        <v>977.6</v>
      </c>
      <c r="I104" s="216">
        <v>977.6</v>
      </c>
      <c r="J104" s="216">
        <v>894.5</v>
      </c>
      <c r="K104" s="3">
        <v>341</v>
      </c>
      <c r="L104" s="3">
        <f>K104</f>
        <v>341</v>
      </c>
      <c r="M104" s="25">
        <f>K104/F104*100</f>
        <v>34.88134206219313</v>
      </c>
      <c r="N104" s="25">
        <f t="shared" si="51"/>
        <v>-636.6</v>
      </c>
      <c r="O104" s="263">
        <f t="shared" si="56"/>
        <v>34.88134206219313</v>
      </c>
      <c r="P104" s="263">
        <f t="shared" si="57"/>
        <v>38.121855785354946</v>
      </c>
      <c r="Q104" s="263">
        <f t="shared" si="58"/>
        <v>-636.6</v>
      </c>
      <c r="R104" s="263">
        <f t="shared" si="59"/>
        <v>-553.5</v>
      </c>
      <c r="S104" s="88"/>
      <c r="T104" s="176"/>
      <c r="U104" s="89"/>
      <c r="V104" s="89"/>
      <c r="W104" s="248">
        <f t="shared" si="52"/>
        <v>0</v>
      </c>
      <c r="X104" s="89">
        <f t="shared" si="53"/>
        <v>83.10000000000002</v>
      </c>
    </row>
    <row r="105" spans="1:24" s="92" customFormat="1" ht="30">
      <c r="A105" s="28" t="s">
        <v>157</v>
      </c>
      <c r="B105" s="27">
        <v>41034500</v>
      </c>
      <c r="C105" s="3">
        <v>35491.83217</v>
      </c>
      <c r="D105" s="25">
        <f>K105-C105</f>
        <v>16739.867829999996</v>
      </c>
      <c r="E105" s="25">
        <f>K105/C105*100</f>
        <v>147.1654090716388</v>
      </c>
      <c r="F105" s="3">
        <v>35741.5</v>
      </c>
      <c r="G105" s="216">
        <f>ROUND(F105*$T$6,1)</f>
        <v>35741.5</v>
      </c>
      <c r="H105" s="219">
        <f>ROUND(F105*$T$7+F105*$T$8,1)</f>
        <v>35741.5</v>
      </c>
      <c r="I105" s="216">
        <v>35741.5</v>
      </c>
      <c r="J105" s="216">
        <v>32780.5</v>
      </c>
      <c r="K105" s="3">
        <v>52231.7</v>
      </c>
      <c r="L105" s="3" t="e">
        <f>K105-#REF!</f>
        <v>#REF!</v>
      </c>
      <c r="M105" s="25">
        <f t="shared" si="38"/>
        <v>146.1374032986864</v>
      </c>
      <c r="N105" s="25">
        <f t="shared" si="51"/>
        <v>16490.199999999997</v>
      </c>
      <c r="O105" s="263">
        <f t="shared" si="56"/>
        <v>146.1374032986864</v>
      </c>
      <c r="P105" s="263">
        <f t="shared" si="57"/>
        <v>159.33771602019493</v>
      </c>
      <c r="Q105" s="263">
        <f t="shared" si="58"/>
        <v>16490.199999999997</v>
      </c>
      <c r="R105" s="263">
        <f t="shared" si="59"/>
        <v>19451.199999999997</v>
      </c>
      <c r="S105" s="88">
        <f>K105-H105-Q105</f>
        <v>0</v>
      </c>
      <c r="T105" s="176">
        <f>F105/12</f>
        <v>2978.4583333333335</v>
      </c>
      <c r="U105" s="89">
        <f>K105/F105*100-M105</f>
        <v>0</v>
      </c>
      <c r="V105" s="89">
        <f>K105/H105*100-O105</f>
        <v>0</v>
      </c>
      <c r="W105" s="248">
        <f t="shared" si="52"/>
        <v>0</v>
      </c>
      <c r="X105" s="89">
        <f t="shared" si="53"/>
        <v>2961</v>
      </c>
    </row>
    <row r="106" spans="1:24" s="92" customFormat="1" ht="20.25">
      <c r="A106" s="29" t="s">
        <v>52</v>
      </c>
      <c r="B106" s="30">
        <v>41035000</v>
      </c>
      <c r="C106" s="3">
        <f>C112+C113+C114+C115+C116+C117+C118+C121+C120+C107+C122+C123+C124+C119</f>
        <v>2439.7999999999997</v>
      </c>
      <c r="D106" s="3">
        <f>D112+D113+D114+D115+D116+D117+D118+D121+D120+D107+D122+D123+D124</f>
        <v>2012.7000000000003</v>
      </c>
      <c r="E106" s="25">
        <f t="shared" si="47"/>
        <v>182.6994015902943</v>
      </c>
      <c r="F106" s="3">
        <f aca="true" t="shared" si="72" ref="F106:L106">F112+F113+F114+F115+F116+F117+F118+F121+F120+F107+F122+F123+F124+F119</f>
        <v>4553.1</v>
      </c>
      <c r="G106" s="216">
        <f t="shared" si="72"/>
        <v>4553.1</v>
      </c>
      <c r="H106" s="216">
        <f t="shared" si="72"/>
        <v>4553.1</v>
      </c>
      <c r="I106" s="216">
        <f t="shared" si="72"/>
        <v>4553.1</v>
      </c>
      <c r="J106" s="216">
        <f t="shared" si="72"/>
        <v>4403.5</v>
      </c>
      <c r="K106" s="3">
        <f t="shared" si="72"/>
        <v>4457.5</v>
      </c>
      <c r="L106" s="3" t="e">
        <f t="shared" si="72"/>
        <v>#REF!</v>
      </c>
      <c r="M106" s="25">
        <f t="shared" si="38"/>
        <v>97.90033164217785</v>
      </c>
      <c r="N106" s="25">
        <f t="shared" si="51"/>
        <v>-95.60000000000036</v>
      </c>
      <c r="O106" s="263">
        <f t="shared" si="56"/>
        <v>97.90033164217785</v>
      </c>
      <c r="P106" s="263">
        <f t="shared" si="57"/>
        <v>101.22629726354036</v>
      </c>
      <c r="Q106" s="263">
        <f t="shared" si="58"/>
        <v>-95.60000000000036</v>
      </c>
      <c r="R106" s="263">
        <f t="shared" si="59"/>
        <v>54</v>
      </c>
      <c r="S106" s="88">
        <f>K106-H106-Q106</f>
        <v>0</v>
      </c>
      <c r="T106" s="176">
        <f>F106/12</f>
        <v>379.425</v>
      </c>
      <c r="U106" s="89">
        <f>K106/F106*100-M106</f>
        <v>0</v>
      </c>
      <c r="V106" s="89">
        <f>K106/H106*100-O106</f>
        <v>0</v>
      </c>
      <c r="W106" s="248">
        <f t="shared" si="52"/>
        <v>0</v>
      </c>
      <c r="X106" s="89">
        <f t="shared" si="53"/>
        <v>149.60000000000036</v>
      </c>
    </row>
    <row r="107" spans="1:24" s="91" customFormat="1" ht="20.25" hidden="1">
      <c r="A107" s="29"/>
      <c r="B107" s="30"/>
      <c r="C107" s="3"/>
      <c r="D107" s="25"/>
      <c r="E107" s="14"/>
      <c r="F107" s="3"/>
      <c r="G107" s="216"/>
      <c r="H107" s="216"/>
      <c r="I107" s="216"/>
      <c r="J107" s="216"/>
      <c r="K107" s="3"/>
      <c r="L107" s="3"/>
      <c r="M107" s="14"/>
      <c r="N107" s="25">
        <f t="shared" si="51"/>
        <v>0</v>
      </c>
      <c r="O107" s="264"/>
      <c r="P107" s="264"/>
      <c r="Q107" s="263"/>
      <c r="R107" s="263"/>
      <c r="S107" s="88"/>
      <c r="T107" s="176"/>
      <c r="U107" s="89"/>
      <c r="V107" s="89"/>
      <c r="W107" s="248"/>
      <c r="X107" s="89"/>
    </row>
    <row r="108" spans="1:24" s="91" customFormat="1" ht="20.25" hidden="1">
      <c r="A108" s="29"/>
      <c r="B108" s="30"/>
      <c r="C108" s="3"/>
      <c r="D108" s="25"/>
      <c r="E108" s="14"/>
      <c r="F108" s="3"/>
      <c r="G108" s="216"/>
      <c r="H108" s="216"/>
      <c r="I108" s="216"/>
      <c r="J108" s="216"/>
      <c r="K108" s="3"/>
      <c r="L108" s="3"/>
      <c r="M108" s="14"/>
      <c r="N108" s="25">
        <f t="shared" si="51"/>
        <v>0</v>
      </c>
      <c r="O108" s="264"/>
      <c r="P108" s="264"/>
      <c r="Q108" s="263"/>
      <c r="R108" s="263"/>
      <c r="S108" s="88"/>
      <c r="T108" s="176"/>
      <c r="U108" s="89"/>
      <c r="V108" s="89"/>
      <c r="W108" s="248"/>
      <c r="X108" s="89"/>
    </row>
    <row r="109" spans="1:24" s="91" customFormat="1" ht="20.25" hidden="1">
      <c r="A109" s="29"/>
      <c r="B109" s="30"/>
      <c r="C109" s="3"/>
      <c r="D109" s="25"/>
      <c r="E109" s="14"/>
      <c r="F109" s="3"/>
      <c r="G109" s="216"/>
      <c r="H109" s="216"/>
      <c r="I109" s="216"/>
      <c r="J109" s="216"/>
      <c r="K109" s="3"/>
      <c r="L109" s="3"/>
      <c r="M109" s="14"/>
      <c r="N109" s="25">
        <f t="shared" si="51"/>
        <v>0</v>
      </c>
      <c r="O109" s="264"/>
      <c r="P109" s="264"/>
      <c r="Q109" s="263"/>
      <c r="R109" s="263"/>
      <c r="S109" s="88"/>
      <c r="T109" s="176"/>
      <c r="U109" s="89"/>
      <c r="V109" s="89"/>
      <c r="W109" s="248"/>
      <c r="X109" s="89"/>
    </row>
    <row r="110" spans="1:24" s="91" customFormat="1" ht="20.25" hidden="1">
      <c r="A110" s="26"/>
      <c r="B110" s="30"/>
      <c r="C110" s="3"/>
      <c r="D110" s="25"/>
      <c r="E110" s="14"/>
      <c r="F110" s="3"/>
      <c r="G110" s="216"/>
      <c r="H110" s="216"/>
      <c r="I110" s="216"/>
      <c r="J110" s="216"/>
      <c r="K110" s="3"/>
      <c r="L110" s="3"/>
      <c r="M110" s="14"/>
      <c r="N110" s="25">
        <f t="shared" si="51"/>
        <v>0</v>
      </c>
      <c r="O110" s="264"/>
      <c r="P110" s="264"/>
      <c r="Q110" s="263"/>
      <c r="R110" s="263"/>
      <c r="S110" s="88"/>
      <c r="T110" s="176"/>
      <c r="U110" s="89"/>
      <c r="V110" s="89"/>
      <c r="W110" s="248"/>
      <c r="X110" s="89"/>
    </row>
    <row r="111" spans="1:24" s="91" customFormat="1" ht="20.25" hidden="1">
      <c r="A111" s="29"/>
      <c r="B111" s="30"/>
      <c r="C111" s="3"/>
      <c r="D111" s="25"/>
      <c r="E111" s="14"/>
      <c r="F111" s="3"/>
      <c r="G111" s="216"/>
      <c r="H111" s="216"/>
      <c r="I111" s="216"/>
      <c r="J111" s="216"/>
      <c r="K111" s="3"/>
      <c r="L111" s="3"/>
      <c r="M111" s="14"/>
      <c r="N111" s="25">
        <f t="shared" si="51"/>
        <v>0</v>
      </c>
      <c r="O111" s="264"/>
      <c r="P111" s="264"/>
      <c r="Q111" s="263"/>
      <c r="R111" s="263"/>
      <c r="S111" s="88"/>
      <c r="T111" s="176"/>
      <c r="U111" s="89"/>
      <c r="V111" s="89"/>
      <c r="W111" s="248"/>
      <c r="X111" s="89"/>
    </row>
    <row r="112" spans="1:24" s="91" customFormat="1" ht="45">
      <c r="A112" s="29" t="s">
        <v>148</v>
      </c>
      <c r="B112" s="30"/>
      <c r="C112" s="3">
        <v>288</v>
      </c>
      <c r="D112" s="25">
        <f>K112-C112</f>
        <v>-6</v>
      </c>
      <c r="E112" s="25">
        <f t="shared" si="47"/>
        <v>97.91666666666666</v>
      </c>
      <c r="F112" s="3">
        <v>288</v>
      </c>
      <c r="G112" s="216">
        <f aca="true" t="shared" si="73" ref="G112:G124">ROUND(F112*$T$6,1)</f>
        <v>288</v>
      </c>
      <c r="H112" s="216">
        <f aca="true" t="shared" si="74" ref="H112:H124">ROUND(F112*$T$7+F112*$T$8,1)</f>
        <v>288</v>
      </c>
      <c r="I112" s="216">
        <v>288</v>
      </c>
      <c r="J112" s="216">
        <v>280.8</v>
      </c>
      <c r="K112" s="3">
        <v>282</v>
      </c>
      <c r="L112" s="3" t="e">
        <f>K112-#REF!</f>
        <v>#REF!</v>
      </c>
      <c r="M112" s="25">
        <f t="shared" si="38"/>
        <v>97.91666666666666</v>
      </c>
      <c r="N112" s="25">
        <f t="shared" si="51"/>
        <v>-6</v>
      </c>
      <c r="O112" s="263">
        <f aca="true" t="shared" si="75" ref="O112:O138">K112/H112*100</f>
        <v>97.91666666666666</v>
      </c>
      <c r="P112" s="263">
        <f aca="true" t="shared" si="76" ref="P112:P138">K112/J112*100</f>
        <v>100.42735042735043</v>
      </c>
      <c r="Q112" s="263">
        <f aca="true" t="shared" si="77" ref="Q112:Q138">K112-H112</f>
        <v>-6</v>
      </c>
      <c r="R112" s="263">
        <f aca="true" t="shared" si="78" ref="R112:R138">K112-J112</f>
        <v>1.1999999999999886</v>
      </c>
      <c r="S112" s="88">
        <f aca="true" t="shared" si="79" ref="S112:S124">K112-H112-Q112</f>
        <v>0</v>
      </c>
      <c r="T112" s="89">
        <f aca="true" t="shared" si="80" ref="T112:T124">K112-J112-R112</f>
        <v>0</v>
      </c>
      <c r="U112" s="89">
        <f aca="true" t="shared" si="81" ref="U112:U122">K112/F112*100-M112</f>
        <v>0</v>
      </c>
      <c r="V112" s="89">
        <f aca="true" t="shared" si="82" ref="V112:V124">K112/H112*100-O112</f>
        <v>0</v>
      </c>
      <c r="W112" s="248">
        <f aca="true" t="shared" si="83" ref="W112:W176">G112-H112</f>
        <v>0</v>
      </c>
      <c r="X112" s="89">
        <f aca="true" t="shared" si="84" ref="X112:X123">I112-J112</f>
        <v>7.199999999999989</v>
      </c>
    </row>
    <row r="113" spans="1:24" s="91" customFormat="1" ht="20.25">
      <c r="A113" s="31" t="s">
        <v>309</v>
      </c>
      <c r="B113" s="30"/>
      <c r="C113" s="3">
        <v>0.8</v>
      </c>
      <c r="D113" s="25">
        <f aca="true" t="shared" si="85" ref="D113:D132">K113-C113</f>
        <v>-0.5</v>
      </c>
      <c r="E113" s="25">
        <f t="shared" si="47"/>
        <v>37.49999999999999</v>
      </c>
      <c r="F113" s="3">
        <v>5.2</v>
      </c>
      <c r="G113" s="216">
        <f t="shared" si="73"/>
        <v>5.2</v>
      </c>
      <c r="H113" s="216">
        <f t="shared" si="74"/>
        <v>5.2</v>
      </c>
      <c r="I113" s="216">
        <v>5.2</v>
      </c>
      <c r="J113" s="216">
        <v>5.1</v>
      </c>
      <c r="K113" s="3">
        <v>0.3</v>
      </c>
      <c r="L113" s="3" t="e">
        <f>K113-#REF!</f>
        <v>#REF!</v>
      </c>
      <c r="M113" s="25">
        <f t="shared" si="38"/>
        <v>5.769230769230769</v>
      </c>
      <c r="N113" s="25">
        <f t="shared" si="51"/>
        <v>-4.9</v>
      </c>
      <c r="O113" s="263">
        <f t="shared" si="75"/>
        <v>5.769230769230769</v>
      </c>
      <c r="P113" s="263">
        <f t="shared" si="76"/>
        <v>5.88235294117647</v>
      </c>
      <c r="Q113" s="263">
        <f t="shared" si="77"/>
        <v>-4.9</v>
      </c>
      <c r="R113" s="263">
        <f t="shared" si="78"/>
        <v>-4.8</v>
      </c>
      <c r="S113" s="88">
        <f t="shared" si="79"/>
        <v>0</v>
      </c>
      <c r="T113" s="89">
        <f t="shared" si="80"/>
        <v>0</v>
      </c>
      <c r="U113" s="89">
        <f t="shared" si="81"/>
        <v>0</v>
      </c>
      <c r="V113" s="89">
        <f t="shared" si="82"/>
        <v>0</v>
      </c>
      <c r="W113" s="248">
        <f t="shared" si="83"/>
        <v>0</v>
      </c>
      <c r="X113" s="89">
        <f t="shared" si="84"/>
        <v>0.10000000000000053</v>
      </c>
    </row>
    <row r="114" spans="1:24" s="91" customFormat="1" ht="30">
      <c r="A114" s="31" t="s">
        <v>149</v>
      </c>
      <c r="B114" s="30"/>
      <c r="C114" s="3">
        <v>382.7</v>
      </c>
      <c r="D114" s="25">
        <f t="shared" si="85"/>
        <v>7.300000000000011</v>
      </c>
      <c r="E114" s="25">
        <f>K114/C114*100</f>
        <v>101.90749934674682</v>
      </c>
      <c r="F114" s="3">
        <v>390</v>
      </c>
      <c r="G114" s="216">
        <f t="shared" si="73"/>
        <v>390</v>
      </c>
      <c r="H114" s="216">
        <f t="shared" si="74"/>
        <v>390</v>
      </c>
      <c r="I114" s="216">
        <v>390</v>
      </c>
      <c r="J114" s="216">
        <v>380.2</v>
      </c>
      <c r="K114" s="3">
        <v>390</v>
      </c>
      <c r="L114" s="3" t="e">
        <f>K114-#REF!</f>
        <v>#REF!</v>
      </c>
      <c r="M114" s="25">
        <f t="shared" si="38"/>
        <v>100</v>
      </c>
      <c r="N114" s="25">
        <f t="shared" si="51"/>
        <v>0</v>
      </c>
      <c r="O114" s="263">
        <f t="shared" si="75"/>
        <v>100</v>
      </c>
      <c r="P114" s="263">
        <f t="shared" si="76"/>
        <v>102.57759074171489</v>
      </c>
      <c r="Q114" s="263">
        <f t="shared" si="77"/>
        <v>0</v>
      </c>
      <c r="R114" s="263">
        <f t="shared" si="78"/>
        <v>9.800000000000011</v>
      </c>
      <c r="S114" s="88">
        <f t="shared" si="79"/>
        <v>0</v>
      </c>
      <c r="T114" s="89">
        <f t="shared" si="80"/>
        <v>0</v>
      </c>
      <c r="U114" s="89">
        <f t="shared" si="81"/>
        <v>0</v>
      </c>
      <c r="V114" s="89">
        <f t="shared" si="82"/>
        <v>0</v>
      </c>
      <c r="W114" s="248">
        <f t="shared" si="83"/>
        <v>0</v>
      </c>
      <c r="X114" s="89">
        <f t="shared" si="84"/>
        <v>9.800000000000011</v>
      </c>
    </row>
    <row r="115" spans="1:24" s="91" customFormat="1" ht="20.25">
      <c r="A115" s="29" t="s">
        <v>150</v>
      </c>
      <c r="B115" s="30"/>
      <c r="C115" s="3">
        <v>173.8</v>
      </c>
      <c r="D115" s="25">
        <f t="shared" si="85"/>
        <v>-15.600000000000023</v>
      </c>
      <c r="E115" s="25">
        <f t="shared" si="47"/>
        <v>91.02416570771</v>
      </c>
      <c r="F115" s="3">
        <f>196.1-8.5-3.5</f>
        <v>184.1</v>
      </c>
      <c r="G115" s="216">
        <f t="shared" si="73"/>
        <v>184.1</v>
      </c>
      <c r="H115" s="216">
        <f t="shared" si="74"/>
        <v>184.1</v>
      </c>
      <c r="I115" s="216">
        <v>184.1</v>
      </c>
      <c r="J115" s="216">
        <v>184.1</v>
      </c>
      <c r="K115" s="3">
        <v>158.2</v>
      </c>
      <c r="L115" s="3" t="e">
        <f>K115-#REF!</f>
        <v>#REF!</v>
      </c>
      <c r="M115" s="25">
        <f t="shared" si="38"/>
        <v>85.93155893536122</v>
      </c>
      <c r="N115" s="25">
        <f t="shared" si="51"/>
        <v>-25.900000000000006</v>
      </c>
      <c r="O115" s="263">
        <f t="shared" si="75"/>
        <v>85.93155893536122</v>
      </c>
      <c r="P115" s="263">
        <f t="shared" si="76"/>
        <v>85.93155893536122</v>
      </c>
      <c r="Q115" s="263">
        <f t="shared" si="77"/>
        <v>-25.900000000000006</v>
      </c>
      <c r="R115" s="263">
        <f t="shared" si="78"/>
        <v>-25.900000000000006</v>
      </c>
      <c r="S115" s="88">
        <f t="shared" si="79"/>
        <v>0</v>
      </c>
      <c r="T115" s="89">
        <f t="shared" si="80"/>
        <v>0</v>
      </c>
      <c r="U115" s="89">
        <f t="shared" si="81"/>
        <v>0</v>
      </c>
      <c r="V115" s="89">
        <f t="shared" si="82"/>
        <v>0</v>
      </c>
      <c r="W115" s="248">
        <f t="shared" si="83"/>
        <v>0</v>
      </c>
      <c r="X115" s="89">
        <f t="shared" si="84"/>
        <v>0</v>
      </c>
    </row>
    <row r="116" spans="1:24" s="91" customFormat="1" ht="20.25">
      <c r="A116" s="29" t="s">
        <v>151</v>
      </c>
      <c r="B116" s="30"/>
      <c r="C116" s="3">
        <v>57.3</v>
      </c>
      <c r="D116" s="25">
        <f t="shared" si="85"/>
        <v>-57.3</v>
      </c>
      <c r="E116" s="25">
        <f t="shared" si="47"/>
        <v>0</v>
      </c>
      <c r="F116" s="3"/>
      <c r="G116" s="216">
        <f t="shared" si="73"/>
        <v>0</v>
      </c>
      <c r="H116" s="216">
        <f t="shared" si="74"/>
        <v>0</v>
      </c>
      <c r="I116" s="216"/>
      <c r="J116" s="216"/>
      <c r="K116" s="3"/>
      <c r="L116" s="3" t="e">
        <f>K116-#REF!</f>
        <v>#REF!</v>
      </c>
      <c r="M116" s="93" t="e">
        <f t="shared" si="38"/>
        <v>#DIV/0!</v>
      </c>
      <c r="N116" s="25">
        <f t="shared" si="51"/>
        <v>0</v>
      </c>
      <c r="O116" s="268" t="e">
        <f t="shared" si="75"/>
        <v>#DIV/0!</v>
      </c>
      <c r="P116" s="268" t="e">
        <f t="shared" si="76"/>
        <v>#DIV/0!</v>
      </c>
      <c r="Q116" s="263">
        <f t="shared" si="77"/>
        <v>0</v>
      </c>
      <c r="R116" s="263">
        <f t="shared" si="78"/>
        <v>0</v>
      </c>
      <c r="S116" s="88">
        <f t="shared" si="79"/>
        <v>0</v>
      </c>
      <c r="T116" s="89">
        <f t="shared" si="80"/>
        <v>0</v>
      </c>
      <c r="U116" s="89" t="e">
        <f t="shared" si="81"/>
        <v>#DIV/0!</v>
      </c>
      <c r="V116" s="89" t="e">
        <f t="shared" si="82"/>
        <v>#DIV/0!</v>
      </c>
      <c r="W116" s="248">
        <f t="shared" si="83"/>
        <v>0</v>
      </c>
      <c r="X116" s="89">
        <f t="shared" si="84"/>
        <v>0</v>
      </c>
    </row>
    <row r="117" spans="1:24" s="91" customFormat="1" ht="30">
      <c r="A117" s="31" t="s">
        <v>296</v>
      </c>
      <c r="B117" s="30"/>
      <c r="C117" s="3">
        <v>143.5</v>
      </c>
      <c r="D117" s="25">
        <f t="shared" si="85"/>
        <v>23.400000000000006</v>
      </c>
      <c r="E117" s="25">
        <f t="shared" si="47"/>
        <v>116.30662020905925</v>
      </c>
      <c r="F117" s="3">
        <f>176.6</f>
        <v>176.6</v>
      </c>
      <c r="G117" s="216">
        <f t="shared" si="73"/>
        <v>176.6</v>
      </c>
      <c r="H117" s="216">
        <f t="shared" si="74"/>
        <v>176.6</v>
      </c>
      <c r="I117" s="216">
        <v>176.6</v>
      </c>
      <c r="J117" s="216">
        <v>176.6</v>
      </c>
      <c r="K117" s="3">
        <v>166.9</v>
      </c>
      <c r="L117" s="3" t="e">
        <f>K117-#REF!</f>
        <v>#REF!</v>
      </c>
      <c r="M117" s="25">
        <f t="shared" si="38"/>
        <v>94.50736126840317</v>
      </c>
      <c r="N117" s="25">
        <f t="shared" si="51"/>
        <v>-9.699999999999989</v>
      </c>
      <c r="O117" s="263">
        <f t="shared" si="75"/>
        <v>94.50736126840317</v>
      </c>
      <c r="P117" s="263">
        <f t="shared" si="76"/>
        <v>94.50736126840317</v>
      </c>
      <c r="Q117" s="263">
        <f t="shared" si="77"/>
        <v>-9.699999999999989</v>
      </c>
      <c r="R117" s="263">
        <f t="shared" si="78"/>
        <v>-9.699999999999989</v>
      </c>
      <c r="S117" s="88">
        <f t="shared" si="79"/>
        <v>0</v>
      </c>
      <c r="T117" s="89">
        <f t="shared" si="80"/>
        <v>0</v>
      </c>
      <c r="U117" s="89">
        <f t="shared" si="81"/>
        <v>0</v>
      </c>
      <c r="V117" s="89">
        <f t="shared" si="82"/>
        <v>0</v>
      </c>
      <c r="W117" s="248">
        <f t="shared" si="83"/>
        <v>0</v>
      </c>
      <c r="X117" s="89">
        <f t="shared" si="84"/>
        <v>0</v>
      </c>
    </row>
    <row r="118" spans="1:24" s="91" customFormat="1" ht="45">
      <c r="A118" s="31" t="s">
        <v>54</v>
      </c>
      <c r="B118" s="30"/>
      <c r="C118" s="3">
        <v>893.5</v>
      </c>
      <c r="D118" s="25">
        <f t="shared" si="85"/>
        <v>274.20000000000005</v>
      </c>
      <c r="E118" s="25">
        <f t="shared" si="47"/>
        <v>130.68830442081702</v>
      </c>
      <c r="F118" s="3">
        <v>1169.6</v>
      </c>
      <c r="G118" s="216">
        <f t="shared" si="73"/>
        <v>1169.6</v>
      </c>
      <c r="H118" s="216">
        <f t="shared" si="74"/>
        <v>1169.6</v>
      </c>
      <c r="I118" s="216">
        <v>1169.6</v>
      </c>
      <c r="J118" s="216">
        <v>1169.6</v>
      </c>
      <c r="K118" s="3">
        <f>1167.7</f>
        <v>1167.7</v>
      </c>
      <c r="L118" s="255" t="e">
        <f>K118-#REF!</f>
        <v>#REF!</v>
      </c>
      <c r="M118" s="25">
        <f t="shared" si="38"/>
        <v>99.8375512995896</v>
      </c>
      <c r="N118" s="25">
        <f t="shared" si="51"/>
        <v>-1.8999999999998636</v>
      </c>
      <c r="O118" s="263">
        <f t="shared" si="75"/>
        <v>99.8375512995896</v>
      </c>
      <c r="P118" s="263">
        <f t="shared" si="76"/>
        <v>99.8375512995896</v>
      </c>
      <c r="Q118" s="263">
        <f t="shared" si="77"/>
        <v>-1.8999999999998636</v>
      </c>
      <c r="R118" s="263">
        <f t="shared" si="78"/>
        <v>-1.8999999999998636</v>
      </c>
      <c r="S118" s="88">
        <f t="shared" si="79"/>
        <v>0</v>
      </c>
      <c r="T118" s="89">
        <f t="shared" si="80"/>
        <v>0</v>
      </c>
      <c r="U118" s="89">
        <f t="shared" si="81"/>
        <v>0</v>
      </c>
      <c r="V118" s="89">
        <f t="shared" si="82"/>
        <v>0</v>
      </c>
      <c r="W118" s="248">
        <f t="shared" si="83"/>
        <v>0</v>
      </c>
      <c r="X118" s="89">
        <f t="shared" si="84"/>
        <v>0</v>
      </c>
    </row>
    <row r="119" spans="1:24" s="91" customFormat="1" ht="45">
      <c r="A119" s="31" t="s">
        <v>329</v>
      </c>
      <c r="B119" s="30"/>
      <c r="C119" s="3"/>
      <c r="D119" s="25">
        <f>K119-C119</f>
        <v>5</v>
      </c>
      <c r="E119" s="256" t="e">
        <f>K119/C119*100</f>
        <v>#DIV/0!</v>
      </c>
      <c r="F119" s="3">
        <v>5.1</v>
      </c>
      <c r="G119" s="216">
        <f t="shared" si="73"/>
        <v>5.1</v>
      </c>
      <c r="H119" s="216">
        <f t="shared" si="74"/>
        <v>5.1</v>
      </c>
      <c r="I119" s="216">
        <v>5.1</v>
      </c>
      <c r="J119" s="216">
        <v>5.1</v>
      </c>
      <c r="K119" s="3">
        <v>5</v>
      </c>
      <c r="L119" s="3">
        <f>K119</f>
        <v>5</v>
      </c>
      <c r="M119" s="25">
        <f>K119/F119*100</f>
        <v>98.03921568627452</v>
      </c>
      <c r="N119" s="25">
        <f t="shared" si="51"/>
        <v>-0.09999999999999964</v>
      </c>
      <c r="O119" s="263">
        <f>K119/H119*100</f>
        <v>98.03921568627452</v>
      </c>
      <c r="P119" s="263">
        <f>K119/J119*100</f>
        <v>98.03921568627452</v>
      </c>
      <c r="Q119" s="263">
        <f>K119-H119</f>
        <v>-0.09999999999999964</v>
      </c>
      <c r="R119" s="263">
        <f>K119-J119</f>
        <v>-0.09999999999999964</v>
      </c>
      <c r="S119" s="88"/>
      <c r="T119" s="89"/>
      <c r="U119" s="89"/>
      <c r="V119" s="89"/>
      <c r="W119" s="248">
        <f t="shared" si="83"/>
        <v>0</v>
      </c>
      <c r="X119" s="89"/>
    </row>
    <row r="120" spans="1:24" s="92" customFormat="1" ht="30">
      <c r="A120" s="31" t="s">
        <v>50</v>
      </c>
      <c r="B120" s="30"/>
      <c r="C120" s="3">
        <v>114</v>
      </c>
      <c r="D120" s="25">
        <f t="shared" si="85"/>
        <v>-72.1</v>
      </c>
      <c r="E120" s="25">
        <f t="shared" si="47"/>
        <v>36.75438596491228</v>
      </c>
      <c r="F120" s="3">
        <f>35+15</f>
        <v>50</v>
      </c>
      <c r="G120" s="216">
        <f t="shared" si="73"/>
        <v>50</v>
      </c>
      <c r="H120" s="216">
        <f t="shared" si="74"/>
        <v>50</v>
      </c>
      <c r="I120" s="216">
        <v>50</v>
      </c>
      <c r="J120" s="216">
        <v>50</v>
      </c>
      <c r="K120" s="3">
        <v>41.9</v>
      </c>
      <c r="L120" s="3" t="e">
        <f>K120-#REF!</f>
        <v>#REF!</v>
      </c>
      <c r="M120" s="25">
        <f t="shared" si="38"/>
        <v>83.8</v>
      </c>
      <c r="N120" s="25">
        <f t="shared" si="51"/>
        <v>-8.100000000000001</v>
      </c>
      <c r="O120" s="263">
        <f t="shared" si="75"/>
        <v>83.8</v>
      </c>
      <c r="P120" s="263">
        <f t="shared" si="76"/>
        <v>83.8</v>
      </c>
      <c r="Q120" s="263">
        <f t="shared" si="77"/>
        <v>-8.100000000000001</v>
      </c>
      <c r="R120" s="263">
        <f t="shared" si="78"/>
        <v>-8.100000000000001</v>
      </c>
      <c r="S120" s="88">
        <f t="shared" si="79"/>
        <v>0</v>
      </c>
      <c r="T120" s="89">
        <f t="shared" si="80"/>
        <v>0</v>
      </c>
      <c r="U120" s="89">
        <f t="shared" si="81"/>
        <v>0</v>
      </c>
      <c r="V120" s="89">
        <f t="shared" si="82"/>
        <v>0</v>
      </c>
      <c r="W120" s="248">
        <f t="shared" si="83"/>
        <v>0</v>
      </c>
      <c r="X120" s="89">
        <f t="shared" si="84"/>
        <v>0</v>
      </c>
    </row>
    <row r="121" spans="1:24" s="91" customFormat="1" ht="20.25">
      <c r="A121" s="311" t="s">
        <v>156</v>
      </c>
      <c r="B121" s="30"/>
      <c r="C121" s="8">
        <v>263.2</v>
      </c>
      <c r="D121" s="25">
        <f t="shared" si="85"/>
        <v>292.3</v>
      </c>
      <c r="E121" s="25">
        <f t="shared" si="47"/>
        <v>211.05623100303953</v>
      </c>
      <c r="F121" s="3">
        <f>230.2+284.4+17+9+14.9</f>
        <v>555.4999999999999</v>
      </c>
      <c r="G121" s="216">
        <f t="shared" si="73"/>
        <v>555.5</v>
      </c>
      <c r="H121" s="216">
        <f t="shared" si="74"/>
        <v>555.5</v>
      </c>
      <c r="I121" s="216">
        <v>555.5</v>
      </c>
      <c r="J121" s="216">
        <v>548.3</v>
      </c>
      <c r="K121" s="3">
        <v>555.5</v>
      </c>
      <c r="L121" s="3" t="e">
        <f>K121-#REF!</f>
        <v>#REF!</v>
      </c>
      <c r="M121" s="25">
        <f>K121/F121*100</f>
        <v>100.00000000000003</v>
      </c>
      <c r="N121" s="25">
        <f t="shared" si="51"/>
        <v>0</v>
      </c>
      <c r="O121" s="263">
        <f t="shared" si="75"/>
        <v>100</v>
      </c>
      <c r="P121" s="263">
        <f t="shared" si="76"/>
        <v>101.31314973554623</v>
      </c>
      <c r="Q121" s="263">
        <f t="shared" si="77"/>
        <v>0</v>
      </c>
      <c r="R121" s="263">
        <f t="shared" si="78"/>
        <v>7.2000000000000455</v>
      </c>
      <c r="S121" s="88">
        <f t="shared" si="79"/>
        <v>0</v>
      </c>
      <c r="T121" s="89">
        <f t="shared" si="80"/>
        <v>0</v>
      </c>
      <c r="U121" s="89">
        <f t="shared" si="81"/>
        <v>0</v>
      </c>
      <c r="V121" s="89">
        <f t="shared" si="82"/>
        <v>0</v>
      </c>
      <c r="W121" s="248">
        <f t="shared" si="83"/>
        <v>0</v>
      </c>
      <c r="X121" s="89">
        <f t="shared" si="84"/>
        <v>7.2000000000000455</v>
      </c>
    </row>
    <row r="122" spans="1:24" s="94" customFormat="1" ht="75">
      <c r="A122" s="38" t="s">
        <v>53</v>
      </c>
      <c r="B122" s="33"/>
      <c r="C122" s="8">
        <v>123</v>
      </c>
      <c r="D122" s="25">
        <f t="shared" si="85"/>
        <v>787.6</v>
      </c>
      <c r="E122" s="25">
        <f t="shared" si="47"/>
        <v>740.3252032520326</v>
      </c>
      <c r="F122" s="3">
        <f>68.4+662.6+2.4+39.5+49.1+54+34.7</f>
        <v>910.7</v>
      </c>
      <c r="G122" s="216">
        <f t="shared" si="73"/>
        <v>910.7</v>
      </c>
      <c r="H122" s="216">
        <f t="shared" si="74"/>
        <v>910.7</v>
      </c>
      <c r="I122" s="216">
        <v>910.7</v>
      </c>
      <c r="J122" s="216">
        <v>910.7</v>
      </c>
      <c r="K122" s="3">
        <v>910.6</v>
      </c>
      <c r="L122" s="3" t="e">
        <f>K122-#REF!</f>
        <v>#REF!</v>
      </c>
      <c r="M122" s="25">
        <f t="shared" si="38"/>
        <v>99.98901943559899</v>
      </c>
      <c r="N122" s="25">
        <f t="shared" si="51"/>
        <v>-0.10000000000002274</v>
      </c>
      <c r="O122" s="263">
        <f t="shared" si="75"/>
        <v>99.98901943559899</v>
      </c>
      <c r="P122" s="263">
        <f t="shared" si="76"/>
        <v>99.98901943559899</v>
      </c>
      <c r="Q122" s="263">
        <f t="shared" si="77"/>
        <v>-0.10000000000002274</v>
      </c>
      <c r="R122" s="263">
        <f t="shared" si="78"/>
        <v>-0.10000000000002274</v>
      </c>
      <c r="S122" s="88">
        <f t="shared" si="79"/>
        <v>0</v>
      </c>
      <c r="T122" s="89">
        <f t="shared" si="80"/>
        <v>0</v>
      </c>
      <c r="U122" s="89">
        <f t="shared" si="81"/>
        <v>0</v>
      </c>
      <c r="V122" s="89">
        <f t="shared" si="82"/>
        <v>0</v>
      </c>
      <c r="W122" s="248">
        <f t="shared" si="83"/>
        <v>0</v>
      </c>
      <c r="X122" s="89">
        <f t="shared" si="84"/>
        <v>0</v>
      </c>
    </row>
    <row r="123" spans="1:24" s="94" customFormat="1" ht="30">
      <c r="A123" s="38" t="s">
        <v>311</v>
      </c>
      <c r="B123" s="33"/>
      <c r="C123" s="8"/>
      <c r="D123" s="25">
        <f>K123-C123</f>
        <v>361.7</v>
      </c>
      <c r="E123" s="93" t="e">
        <f>K123/C123*100</f>
        <v>#DIV/0!</v>
      </c>
      <c r="F123" s="3">
        <f>232.4+80.2+42.8+41.4+3.7+0.1</f>
        <v>400.6</v>
      </c>
      <c r="G123" s="216">
        <f t="shared" si="73"/>
        <v>400.6</v>
      </c>
      <c r="H123" s="216">
        <f t="shared" si="74"/>
        <v>400.6</v>
      </c>
      <c r="I123" s="216">
        <v>400.6</v>
      </c>
      <c r="J123" s="216">
        <v>400.6</v>
      </c>
      <c r="K123" s="3">
        <v>361.7</v>
      </c>
      <c r="L123" s="3" t="e">
        <f>K123-#REF!</f>
        <v>#REF!</v>
      </c>
      <c r="M123" s="25">
        <f>K123/F123*100</f>
        <v>90.28956565152271</v>
      </c>
      <c r="N123" s="25">
        <f t="shared" si="51"/>
        <v>-38.900000000000034</v>
      </c>
      <c r="O123" s="263">
        <f t="shared" si="75"/>
        <v>90.28956565152271</v>
      </c>
      <c r="P123" s="263">
        <f t="shared" si="76"/>
        <v>90.28956565152271</v>
      </c>
      <c r="Q123" s="263">
        <f t="shared" si="77"/>
        <v>-38.900000000000034</v>
      </c>
      <c r="R123" s="263">
        <f t="shared" si="78"/>
        <v>-38.900000000000034</v>
      </c>
      <c r="S123" s="88">
        <f t="shared" si="79"/>
        <v>0</v>
      </c>
      <c r="T123" s="89">
        <f t="shared" si="80"/>
        <v>0</v>
      </c>
      <c r="U123" s="89"/>
      <c r="V123" s="89">
        <f t="shared" si="82"/>
        <v>0</v>
      </c>
      <c r="W123" s="248">
        <f t="shared" si="83"/>
        <v>0</v>
      </c>
      <c r="X123" s="89">
        <f t="shared" si="84"/>
        <v>0</v>
      </c>
    </row>
    <row r="124" spans="1:24" s="94" customFormat="1" ht="20.25">
      <c r="A124" s="38" t="s">
        <v>152</v>
      </c>
      <c r="B124" s="33"/>
      <c r="C124" s="8"/>
      <c r="D124" s="25">
        <f>K124-C124</f>
        <v>417.7</v>
      </c>
      <c r="E124" s="93" t="e">
        <f>K124/C124*100</f>
        <v>#DIV/0!</v>
      </c>
      <c r="F124" s="3">
        <v>417.7</v>
      </c>
      <c r="G124" s="216">
        <f t="shared" si="73"/>
        <v>417.7</v>
      </c>
      <c r="H124" s="216">
        <f t="shared" si="74"/>
        <v>417.7</v>
      </c>
      <c r="I124" s="216">
        <v>417.7</v>
      </c>
      <c r="J124" s="216">
        <v>292.4</v>
      </c>
      <c r="K124" s="3">
        <v>417.7</v>
      </c>
      <c r="L124" s="3">
        <f>K124</f>
        <v>417.7</v>
      </c>
      <c r="M124" s="25">
        <f>K124/F124*100</f>
        <v>100</v>
      </c>
      <c r="N124" s="25">
        <f t="shared" si="51"/>
        <v>0</v>
      </c>
      <c r="O124" s="263">
        <f t="shared" si="75"/>
        <v>100</v>
      </c>
      <c r="P124" s="263">
        <f t="shared" si="76"/>
        <v>142.85225718194255</v>
      </c>
      <c r="Q124" s="263">
        <f t="shared" si="77"/>
        <v>0</v>
      </c>
      <c r="R124" s="263">
        <f t="shared" si="78"/>
        <v>125.30000000000001</v>
      </c>
      <c r="S124" s="88">
        <f t="shared" si="79"/>
        <v>0</v>
      </c>
      <c r="T124" s="89">
        <f t="shared" si="80"/>
        <v>0</v>
      </c>
      <c r="U124" s="89"/>
      <c r="V124" s="89">
        <f t="shared" si="82"/>
        <v>0</v>
      </c>
      <c r="W124" s="248">
        <f t="shared" si="83"/>
        <v>0</v>
      </c>
      <c r="X124" s="89"/>
    </row>
    <row r="125" spans="1:24" s="94" customFormat="1" ht="45">
      <c r="A125" s="37" t="s">
        <v>59</v>
      </c>
      <c r="B125" s="30">
        <v>41035200</v>
      </c>
      <c r="C125" s="3">
        <f>C126</f>
        <v>0</v>
      </c>
      <c r="D125" s="3">
        <f>D126</f>
        <v>0</v>
      </c>
      <c r="E125" s="93" t="e">
        <f t="shared" si="47"/>
        <v>#DIV/0!</v>
      </c>
      <c r="F125" s="3">
        <f aca="true" t="shared" si="86" ref="F125:K125">F126</f>
        <v>0</v>
      </c>
      <c r="G125" s="216">
        <f t="shared" si="86"/>
        <v>0</v>
      </c>
      <c r="H125" s="216">
        <f t="shared" si="86"/>
        <v>0</v>
      </c>
      <c r="I125" s="216">
        <f t="shared" si="86"/>
        <v>0</v>
      </c>
      <c r="J125" s="216">
        <f t="shared" si="86"/>
        <v>0</v>
      </c>
      <c r="K125" s="3">
        <f t="shared" si="86"/>
        <v>0</v>
      </c>
      <c r="L125" s="3" t="e">
        <f>K125-#REF!</f>
        <v>#REF!</v>
      </c>
      <c r="M125" s="111" t="e">
        <f t="shared" si="38"/>
        <v>#DIV/0!</v>
      </c>
      <c r="N125" s="25">
        <f t="shared" si="51"/>
        <v>0</v>
      </c>
      <c r="O125" s="268" t="e">
        <f t="shared" si="75"/>
        <v>#DIV/0!</v>
      </c>
      <c r="P125" s="271" t="e">
        <f t="shared" si="76"/>
        <v>#DIV/0!</v>
      </c>
      <c r="Q125" s="263">
        <f t="shared" si="77"/>
        <v>0</v>
      </c>
      <c r="R125" s="263">
        <f t="shared" si="78"/>
        <v>0</v>
      </c>
      <c r="S125" s="88">
        <f>K125-H125-Q125</f>
        <v>0</v>
      </c>
      <c r="T125" s="89">
        <f>K125-J125-R125</f>
        <v>0</v>
      </c>
      <c r="U125" s="89" t="e">
        <f>K125/F125*100-M125</f>
        <v>#DIV/0!</v>
      </c>
      <c r="V125" s="89" t="e">
        <f>K125/H125*100-O125</f>
        <v>#DIV/0!</v>
      </c>
      <c r="W125" s="248">
        <f t="shared" si="83"/>
        <v>0</v>
      </c>
      <c r="X125" s="89">
        <f aca="true" t="shared" si="87" ref="X125:X183">I125-J125</f>
        <v>0</v>
      </c>
    </row>
    <row r="126" spans="1:24" s="94" customFormat="1" ht="30">
      <c r="A126" s="35" t="s">
        <v>60</v>
      </c>
      <c r="B126" s="33"/>
      <c r="C126" s="3">
        <v>0</v>
      </c>
      <c r="D126" s="25">
        <f>K126-C126</f>
        <v>0</v>
      </c>
      <c r="E126" s="93" t="e">
        <f t="shared" si="47"/>
        <v>#DIV/0!</v>
      </c>
      <c r="F126" s="8"/>
      <c r="G126" s="216">
        <f>ROUND(F126*$T$6,1)</f>
        <v>0</v>
      </c>
      <c r="H126" s="219">
        <f>ROUND(F126*$T$7+F126*$T$8,1)</f>
        <v>0</v>
      </c>
      <c r="I126" s="217"/>
      <c r="J126" s="217"/>
      <c r="K126" s="8"/>
      <c r="L126" s="3" t="e">
        <f>K126-#REF!</f>
        <v>#REF!</v>
      </c>
      <c r="M126" s="93" t="e">
        <f aca="true" t="shared" si="88" ref="M126:M138">K126/F126*100</f>
        <v>#DIV/0!</v>
      </c>
      <c r="N126" s="25">
        <f t="shared" si="51"/>
        <v>0</v>
      </c>
      <c r="O126" s="268" t="e">
        <f t="shared" si="75"/>
        <v>#DIV/0!</v>
      </c>
      <c r="P126" s="268" t="e">
        <f t="shared" si="76"/>
        <v>#DIV/0!</v>
      </c>
      <c r="Q126" s="263">
        <f t="shared" si="77"/>
        <v>0</v>
      </c>
      <c r="R126" s="263">
        <f t="shared" si="78"/>
        <v>0</v>
      </c>
      <c r="S126" s="88">
        <f>K126-H126-Q126</f>
        <v>0</v>
      </c>
      <c r="T126" s="89">
        <f>K126-J126-R126</f>
        <v>0</v>
      </c>
      <c r="U126" s="89" t="e">
        <f>K126/F126*100-M126</f>
        <v>#DIV/0!</v>
      </c>
      <c r="V126" s="89" t="e">
        <f>K126/H126*100-O126</f>
        <v>#DIV/0!</v>
      </c>
      <c r="W126" s="248">
        <f t="shared" si="83"/>
        <v>0</v>
      </c>
      <c r="X126" s="89">
        <f t="shared" si="87"/>
        <v>0</v>
      </c>
    </row>
    <row r="127" spans="1:24" s="161" customFormat="1" ht="45">
      <c r="A127" s="38" t="s">
        <v>56</v>
      </c>
      <c r="B127" s="30">
        <v>41035300</v>
      </c>
      <c r="C127" s="3">
        <f>C128+C129</f>
        <v>12665.8</v>
      </c>
      <c r="D127" s="25">
        <f>K127-C127</f>
        <v>-12665.8</v>
      </c>
      <c r="E127" s="93">
        <f>K127/C127*100</f>
        <v>0</v>
      </c>
      <c r="F127" s="3">
        <f aca="true" t="shared" si="89" ref="F127:K127">F128+F129</f>
        <v>0</v>
      </c>
      <c r="G127" s="216">
        <f t="shared" si="89"/>
        <v>0</v>
      </c>
      <c r="H127" s="216">
        <f t="shared" si="89"/>
        <v>0</v>
      </c>
      <c r="I127" s="216">
        <f t="shared" si="89"/>
        <v>0</v>
      </c>
      <c r="J127" s="216">
        <f>J128+J129</f>
        <v>0</v>
      </c>
      <c r="K127" s="3">
        <f t="shared" si="89"/>
        <v>0</v>
      </c>
      <c r="L127" s="3" t="e">
        <f>K127-#REF!</f>
        <v>#REF!</v>
      </c>
      <c r="M127" s="93" t="e">
        <f t="shared" si="88"/>
        <v>#DIV/0!</v>
      </c>
      <c r="N127" s="25">
        <f t="shared" si="51"/>
        <v>0</v>
      </c>
      <c r="O127" s="268" t="e">
        <f t="shared" si="75"/>
        <v>#DIV/0!</v>
      </c>
      <c r="P127" s="268" t="e">
        <f t="shared" si="76"/>
        <v>#DIV/0!</v>
      </c>
      <c r="Q127" s="263">
        <f t="shared" si="77"/>
        <v>0</v>
      </c>
      <c r="R127" s="263">
        <f t="shared" si="78"/>
        <v>0</v>
      </c>
      <c r="S127" s="88">
        <f>K127-H127-Q127</f>
        <v>0</v>
      </c>
      <c r="T127" s="89">
        <f>K127-J127-R127</f>
        <v>0</v>
      </c>
      <c r="U127" s="89" t="e">
        <f>K127/F127*100-M127</f>
        <v>#DIV/0!</v>
      </c>
      <c r="V127" s="89" t="e">
        <f>K127/H127*100-O127</f>
        <v>#DIV/0!</v>
      </c>
      <c r="W127" s="248">
        <f t="shared" si="83"/>
        <v>0</v>
      </c>
      <c r="X127" s="89">
        <f t="shared" si="87"/>
        <v>0</v>
      </c>
    </row>
    <row r="128" spans="1:24" s="94" customFormat="1" ht="45">
      <c r="A128" s="35" t="s">
        <v>58</v>
      </c>
      <c r="B128" s="33"/>
      <c r="C128" s="3">
        <v>7536.5</v>
      </c>
      <c r="D128" s="25">
        <f>K128-C128</f>
        <v>-7536.5</v>
      </c>
      <c r="E128" s="93">
        <f t="shared" si="47"/>
        <v>0</v>
      </c>
      <c r="F128" s="8"/>
      <c r="G128" s="216">
        <f>ROUND(F128*$T$6,1)</f>
        <v>0</v>
      </c>
      <c r="H128" s="219">
        <f>ROUND(F128*$T$7+F128*$T$8,1)</f>
        <v>0</v>
      </c>
      <c r="I128" s="217"/>
      <c r="J128" s="217"/>
      <c r="K128" s="8"/>
      <c r="L128" s="3" t="e">
        <f>K128-#REF!</f>
        <v>#REF!</v>
      </c>
      <c r="M128" s="93" t="e">
        <f t="shared" si="88"/>
        <v>#DIV/0!</v>
      </c>
      <c r="N128" s="25">
        <f t="shared" si="51"/>
        <v>0</v>
      </c>
      <c r="O128" s="268" t="e">
        <f t="shared" si="75"/>
        <v>#DIV/0!</v>
      </c>
      <c r="P128" s="268" t="e">
        <f t="shared" si="76"/>
        <v>#DIV/0!</v>
      </c>
      <c r="Q128" s="263">
        <f t="shared" si="77"/>
        <v>0</v>
      </c>
      <c r="R128" s="263">
        <f t="shared" si="78"/>
        <v>0</v>
      </c>
      <c r="S128" s="88">
        <f>K128-H128-Q128</f>
        <v>0</v>
      </c>
      <c r="T128" s="89">
        <f>K128-J128-R128</f>
        <v>0</v>
      </c>
      <c r="U128" s="89" t="e">
        <f>K128/F128*100-M128</f>
        <v>#DIV/0!</v>
      </c>
      <c r="V128" s="89" t="e">
        <f>K128/H128*100-O128</f>
        <v>#DIV/0!</v>
      </c>
      <c r="W128" s="248">
        <f t="shared" si="83"/>
        <v>0</v>
      </c>
      <c r="X128" s="89">
        <f t="shared" si="87"/>
        <v>0</v>
      </c>
    </row>
    <row r="129" spans="1:24" s="94" customFormat="1" ht="20.25">
      <c r="A129" s="35" t="s">
        <v>152</v>
      </c>
      <c r="B129" s="33"/>
      <c r="C129" s="3">
        <v>5129.3</v>
      </c>
      <c r="D129" s="25">
        <f>K129-C129</f>
        <v>-5129.3</v>
      </c>
      <c r="E129" s="93">
        <f t="shared" si="47"/>
        <v>0</v>
      </c>
      <c r="F129" s="8"/>
      <c r="G129" s="216">
        <f>ROUND(F129*$T$6,1)</f>
        <v>0</v>
      </c>
      <c r="H129" s="219">
        <f>ROUND(F129*$T$7+F129*$T$8,1)</f>
        <v>0</v>
      </c>
      <c r="I129" s="217"/>
      <c r="J129" s="217"/>
      <c r="K129" s="8"/>
      <c r="L129" s="3" t="e">
        <f>K129-#REF!</f>
        <v>#REF!</v>
      </c>
      <c r="M129" s="93" t="e">
        <f t="shared" si="88"/>
        <v>#DIV/0!</v>
      </c>
      <c r="N129" s="25">
        <f t="shared" si="51"/>
        <v>0</v>
      </c>
      <c r="O129" s="268" t="e">
        <f t="shared" si="75"/>
        <v>#DIV/0!</v>
      </c>
      <c r="P129" s="268" t="e">
        <f t="shared" si="76"/>
        <v>#DIV/0!</v>
      </c>
      <c r="Q129" s="263">
        <f t="shared" si="77"/>
        <v>0</v>
      </c>
      <c r="R129" s="263">
        <f t="shared" si="78"/>
        <v>0</v>
      </c>
      <c r="S129" s="88">
        <f>K129-H129-Q129</f>
        <v>0</v>
      </c>
      <c r="T129" s="89">
        <f>K129-J129-R129</f>
        <v>0</v>
      </c>
      <c r="U129" s="89" t="e">
        <f>K129/F129*100-M129</f>
        <v>#DIV/0!</v>
      </c>
      <c r="V129" s="89" t="e">
        <f>K129/H129*100-O129</f>
        <v>#DIV/0!</v>
      </c>
      <c r="W129" s="248">
        <f t="shared" si="83"/>
        <v>0</v>
      </c>
      <c r="X129" s="89">
        <f t="shared" si="87"/>
        <v>0</v>
      </c>
    </row>
    <row r="130" spans="1:24" s="161" customFormat="1" ht="30">
      <c r="A130" s="38" t="s">
        <v>48</v>
      </c>
      <c r="B130" s="30">
        <v>41035400</v>
      </c>
      <c r="C130" s="3">
        <v>579.34373</v>
      </c>
      <c r="D130" s="25">
        <f>K130-C130</f>
        <v>-579.34373</v>
      </c>
      <c r="E130" s="93">
        <f>K130/C130*100</f>
        <v>0</v>
      </c>
      <c r="F130" s="3">
        <f>533.3+94.3+141.4-87.4+5.9</f>
        <v>687.4999999999999</v>
      </c>
      <c r="G130" s="216">
        <f>ROUND(F130*$T$6,1)</f>
        <v>687.5</v>
      </c>
      <c r="H130" s="219">
        <f>ROUND(F130*$T$7+F130*$T$8,1)</f>
        <v>687.5</v>
      </c>
      <c r="I130" s="216">
        <v>687.5</v>
      </c>
      <c r="J130" s="216">
        <v>668.5</v>
      </c>
      <c r="K130" s="3">
        <v>0</v>
      </c>
      <c r="L130" s="3" t="e">
        <f>K130-#REF!</f>
        <v>#REF!</v>
      </c>
      <c r="M130" s="25">
        <f t="shared" si="88"/>
        <v>0</v>
      </c>
      <c r="N130" s="25">
        <f t="shared" si="51"/>
        <v>-687.4999999999999</v>
      </c>
      <c r="O130" s="263">
        <f t="shared" si="75"/>
        <v>0</v>
      </c>
      <c r="P130" s="263">
        <f t="shared" si="76"/>
        <v>0</v>
      </c>
      <c r="Q130" s="263">
        <f t="shared" si="77"/>
        <v>-687.5</v>
      </c>
      <c r="R130" s="263">
        <f t="shared" si="78"/>
        <v>-668.5</v>
      </c>
      <c r="S130" s="88"/>
      <c r="T130" s="89"/>
      <c r="U130" s="89"/>
      <c r="V130" s="89"/>
      <c r="W130" s="248">
        <f t="shared" si="83"/>
        <v>0</v>
      </c>
      <c r="X130" s="89">
        <f t="shared" si="87"/>
        <v>19</v>
      </c>
    </row>
    <row r="131" spans="1:24" s="91" customFormat="1" ht="120">
      <c r="A131" s="38" t="s">
        <v>47</v>
      </c>
      <c r="B131" s="27">
        <v>41035800</v>
      </c>
      <c r="C131" s="3">
        <v>1786</v>
      </c>
      <c r="D131" s="25">
        <f t="shared" si="85"/>
        <v>-1786</v>
      </c>
      <c r="E131" s="25">
        <f t="shared" si="47"/>
        <v>0</v>
      </c>
      <c r="F131" s="3">
        <f>2415.1-393.7-223.2</f>
        <v>1798.1999999999998</v>
      </c>
      <c r="G131" s="216">
        <f>ROUND(F131*$T$6,1)</f>
        <v>1798.2</v>
      </c>
      <c r="H131" s="219">
        <f>ROUND(F131*$T$7+F131*$T$8,1)</f>
        <v>1798.2</v>
      </c>
      <c r="I131" s="216">
        <v>1798.2</v>
      </c>
      <c r="J131" s="216">
        <v>1798.2</v>
      </c>
      <c r="K131" s="3">
        <v>0</v>
      </c>
      <c r="L131" s="3" t="e">
        <f>K131-#REF!</f>
        <v>#REF!</v>
      </c>
      <c r="M131" s="25">
        <f t="shared" si="88"/>
        <v>0</v>
      </c>
      <c r="N131" s="25">
        <f t="shared" si="51"/>
        <v>-1798.1999999999998</v>
      </c>
      <c r="O131" s="263">
        <f t="shared" si="75"/>
        <v>0</v>
      </c>
      <c r="P131" s="263">
        <f t="shared" si="76"/>
        <v>0</v>
      </c>
      <c r="Q131" s="263">
        <f t="shared" si="77"/>
        <v>-1798.2</v>
      </c>
      <c r="R131" s="263">
        <f t="shared" si="78"/>
        <v>-1798.2</v>
      </c>
      <c r="S131" s="88">
        <f aca="true" t="shared" si="90" ref="S131:S178">K131-H131-Q131</f>
        <v>0</v>
      </c>
      <c r="T131" s="89">
        <f aca="true" t="shared" si="91" ref="T131:T178">K131-J131-R131</f>
        <v>0</v>
      </c>
      <c r="U131" s="89">
        <f aca="true" t="shared" si="92" ref="U131:U178">K131/F131*100-M131</f>
        <v>0</v>
      </c>
      <c r="V131" s="89">
        <f aca="true" t="shared" si="93" ref="V131:V178">K131/H131*100-O131</f>
        <v>0</v>
      </c>
      <c r="W131" s="248">
        <f t="shared" si="83"/>
        <v>0</v>
      </c>
      <c r="X131" s="89">
        <f t="shared" si="87"/>
        <v>0</v>
      </c>
    </row>
    <row r="132" spans="1:24" s="91" customFormat="1" ht="75">
      <c r="A132" s="39" t="s">
        <v>291</v>
      </c>
      <c r="B132" s="40">
        <v>41036100</v>
      </c>
      <c r="C132" s="7">
        <v>0</v>
      </c>
      <c r="D132" s="25">
        <f t="shared" si="85"/>
        <v>0</v>
      </c>
      <c r="E132" s="93" t="e">
        <f t="shared" si="47"/>
        <v>#DIV/0!</v>
      </c>
      <c r="F132" s="22"/>
      <c r="G132" s="220">
        <f>ROUND(F132*$T$6,1)</f>
        <v>0</v>
      </c>
      <c r="H132" s="216">
        <f>ROUND(F132*$T$7+F132*$T$8,1)</f>
        <v>0</v>
      </c>
      <c r="I132" s="216"/>
      <c r="J132" s="216"/>
      <c r="K132" s="3"/>
      <c r="L132" s="3" t="e">
        <f>K132-#REF!</f>
        <v>#REF!</v>
      </c>
      <c r="M132" s="14" t="e">
        <f t="shared" si="88"/>
        <v>#DIV/0!</v>
      </c>
      <c r="N132" s="25">
        <f t="shared" si="51"/>
        <v>0</v>
      </c>
      <c r="O132" s="268" t="e">
        <f t="shared" si="75"/>
        <v>#DIV/0!</v>
      </c>
      <c r="P132" s="268" t="e">
        <f t="shared" si="76"/>
        <v>#DIV/0!</v>
      </c>
      <c r="Q132" s="263">
        <f t="shared" si="77"/>
        <v>0</v>
      </c>
      <c r="R132" s="263">
        <f t="shared" si="78"/>
        <v>0</v>
      </c>
      <c r="S132" s="88">
        <f t="shared" si="90"/>
        <v>0</v>
      </c>
      <c r="T132" s="89">
        <f t="shared" si="91"/>
        <v>0</v>
      </c>
      <c r="U132" s="89" t="e">
        <f t="shared" si="92"/>
        <v>#DIV/0!</v>
      </c>
      <c r="V132" s="89" t="e">
        <f t="shared" si="93"/>
        <v>#DIV/0!</v>
      </c>
      <c r="W132" s="248">
        <f t="shared" si="83"/>
        <v>0</v>
      </c>
      <c r="X132" s="89">
        <f t="shared" si="87"/>
        <v>0</v>
      </c>
    </row>
    <row r="133" spans="1:24" s="91" customFormat="1" ht="165" hidden="1">
      <c r="A133" s="39" t="s">
        <v>162</v>
      </c>
      <c r="B133" s="40">
        <v>41036600</v>
      </c>
      <c r="C133" s="7"/>
      <c r="D133" s="14" t="e">
        <v>#DIV/0!</v>
      </c>
      <c r="E133" s="14" t="e">
        <f t="shared" si="47"/>
        <v>#DIV/0!</v>
      </c>
      <c r="F133" s="22"/>
      <c r="G133" s="220">
        <f>F133/12*10</f>
        <v>0</v>
      </c>
      <c r="H133" s="216">
        <f>F133/12*8+F133/12*22/22</f>
        <v>0</v>
      </c>
      <c r="I133" s="216"/>
      <c r="J133" s="216"/>
      <c r="K133" s="3"/>
      <c r="L133" s="3"/>
      <c r="M133" s="14" t="e">
        <f t="shared" si="88"/>
        <v>#DIV/0!</v>
      </c>
      <c r="N133" s="25">
        <f t="shared" si="51"/>
        <v>0</v>
      </c>
      <c r="O133" s="264" t="e">
        <f t="shared" si="75"/>
        <v>#DIV/0!</v>
      </c>
      <c r="P133" s="264" t="e">
        <f t="shared" si="76"/>
        <v>#DIV/0!</v>
      </c>
      <c r="Q133" s="263">
        <f t="shared" si="77"/>
        <v>0</v>
      </c>
      <c r="R133" s="263">
        <f t="shared" si="78"/>
        <v>0</v>
      </c>
      <c r="S133" s="88">
        <f t="shared" si="90"/>
        <v>0</v>
      </c>
      <c r="T133" s="89">
        <f t="shared" si="91"/>
        <v>0</v>
      </c>
      <c r="U133" s="89" t="e">
        <f t="shared" si="92"/>
        <v>#DIV/0!</v>
      </c>
      <c r="V133" s="89" t="e">
        <f t="shared" si="93"/>
        <v>#DIV/0!</v>
      </c>
      <c r="W133" s="248">
        <f t="shared" si="83"/>
        <v>0</v>
      </c>
      <c r="X133" s="89">
        <f t="shared" si="87"/>
        <v>0</v>
      </c>
    </row>
    <row r="134" spans="1:24" s="91" customFormat="1" ht="30" hidden="1">
      <c r="A134" s="26" t="s">
        <v>301</v>
      </c>
      <c r="B134" s="27">
        <v>41037000</v>
      </c>
      <c r="C134" s="3"/>
      <c r="D134" s="25">
        <f>K134-C134</f>
        <v>0</v>
      </c>
      <c r="E134" s="14" t="e">
        <f t="shared" si="47"/>
        <v>#DIV/0!</v>
      </c>
      <c r="F134" s="3"/>
      <c r="G134" s="216">
        <f>F134/12*9</f>
        <v>0</v>
      </c>
      <c r="H134" s="216">
        <f>F134/12*8+F134/12*11/22</f>
        <v>0</v>
      </c>
      <c r="I134" s="216"/>
      <c r="J134" s="216"/>
      <c r="K134" s="3"/>
      <c r="L134" s="3"/>
      <c r="M134" s="14" t="e">
        <f t="shared" si="88"/>
        <v>#DIV/0!</v>
      </c>
      <c r="N134" s="25">
        <f t="shared" si="51"/>
        <v>0</v>
      </c>
      <c r="O134" s="264" t="e">
        <f t="shared" si="75"/>
        <v>#DIV/0!</v>
      </c>
      <c r="P134" s="264" t="e">
        <f t="shared" si="76"/>
        <v>#DIV/0!</v>
      </c>
      <c r="Q134" s="263">
        <f t="shared" si="77"/>
        <v>0</v>
      </c>
      <c r="R134" s="263">
        <f t="shared" si="78"/>
        <v>0</v>
      </c>
      <c r="S134" s="88">
        <f t="shared" si="90"/>
        <v>0</v>
      </c>
      <c r="T134" s="89">
        <f t="shared" si="91"/>
        <v>0</v>
      </c>
      <c r="U134" s="89" t="e">
        <f t="shared" si="92"/>
        <v>#DIV/0!</v>
      </c>
      <c r="V134" s="89" t="e">
        <f t="shared" si="93"/>
        <v>#DIV/0!</v>
      </c>
      <c r="W134" s="248">
        <f t="shared" si="83"/>
        <v>0</v>
      </c>
      <c r="X134" s="89">
        <f t="shared" si="87"/>
        <v>0</v>
      </c>
    </row>
    <row r="135" spans="1:24" s="92" customFormat="1" ht="45" hidden="1">
      <c r="A135" s="26" t="s">
        <v>111</v>
      </c>
      <c r="B135" s="27">
        <v>41036300</v>
      </c>
      <c r="C135" s="3"/>
      <c r="D135" s="25">
        <f>K135-C135</f>
        <v>0</v>
      </c>
      <c r="E135" s="14" t="e">
        <f t="shared" si="47"/>
        <v>#DIV/0!</v>
      </c>
      <c r="F135" s="3"/>
      <c r="G135" s="216">
        <f>F135/12*9</f>
        <v>0</v>
      </c>
      <c r="H135" s="216">
        <f>F135/12*8+F135/12*11/22</f>
        <v>0</v>
      </c>
      <c r="I135" s="216"/>
      <c r="J135" s="216"/>
      <c r="K135" s="3"/>
      <c r="L135" s="3"/>
      <c r="M135" s="25" t="e">
        <f t="shared" si="88"/>
        <v>#DIV/0!</v>
      </c>
      <c r="N135" s="6">
        <f t="shared" si="51"/>
        <v>0</v>
      </c>
      <c r="O135" s="203" t="e">
        <f t="shared" si="75"/>
        <v>#DIV/0!</v>
      </c>
      <c r="P135" s="263" t="e">
        <f t="shared" si="76"/>
        <v>#DIV/0!</v>
      </c>
      <c r="Q135" s="263">
        <f t="shared" si="77"/>
        <v>0</v>
      </c>
      <c r="R135" s="263">
        <f t="shared" si="78"/>
        <v>0</v>
      </c>
      <c r="S135" s="88">
        <f t="shared" si="90"/>
        <v>0</v>
      </c>
      <c r="T135" s="89">
        <f t="shared" si="91"/>
        <v>0</v>
      </c>
      <c r="U135" s="89" t="e">
        <f t="shared" si="92"/>
        <v>#DIV/0!</v>
      </c>
      <c r="V135" s="89" t="e">
        <f t="shared" si="93"/>
        <v>#DIV/0!</v>
      </c>
      <c r="W135" s="248">
        <f t="shared" si="83"/>
        <v>0</v>
      </c>
      <c r="X135" s="89">
        <f t="shared" si="87"/>
        <v>0</v>
      </c>
    </row>
    <row r="136" spans="1:24" s="92" customFormat="1" ht="165">
      <c r="A136" s="41" t="s">
        <v>162</v>
      </c>
      <c r="B136" s="42">
        <v>41036600</v>
      </c>
      <c r="C136" s="3"/>
      <c r="D136" s="25">
        <f>K136-C136</f>
        <v>0</v>
      </c>
      <c r="E136" s="228" t="e">
        <f t="shared" si="47"/>
        <v>#DIV/0!</v>
      </c>
      <c r="F136" s="3">
        <f>23863.4-1097.8-0.1-214.7-238+0.1</f>
        <v>22312.9</v>
      </c>
      <c r="G136" s="216">
        <f>ROUND(F136*$T$6,1)</f>
        <v>22312.9</v>
      </c>
      <c r="H136" s="216">
        <f>ROUND(F136*$T$7+F136*$T$8,1)</f>
        <v>22312.9</v>
      </c>
      <c r="I136" s="216">
        <v>22312.800000000003</v>
      </c>
      <c r="J136" s="216">
        <v>22312.9</v>
      </c>
      <c r="K136" s="3"/>
      <c r="L136" s="3">
        <f>K136</f>
        <v>0</v>
      </c>
      <c r="M136" s="14">
        <f>K136/F136*100</f>
        <v>0</v>
      </c>
      <c r="N136" s="25">
        <f t="shared" si="51"/>
        <v>-22312.9</v>
      </c>
      <c r="O136" s="264">
        <f t="shared" si="75"/>
        <v>0</v>
      </c>
      <c r="P136" s="264">
        <f t="shared" si="76"/>
        <v>0</v>
      </c>
      <c r="Q136" s="263">
        <f t="shared" si="77"/>
        <v>-22312.9</v>
      </c>
      <c r="R136" s="263">
        <f t="shared" si="78"/>
        <v>-22312.9</v>
      </c>
      <c r="S136" s="88">
        <f t="shared" si="90"/>
        <v>0</v>
      </c>
      <c r="T136" s="89">
        <f t="shared" si="91"/>
        <v>0</v>
      </c>
      <c r="U136" s="89">
        <f t="shared" si="92"/>
        <v>0</v>
      </c>
      <c r="V136" s="89">
        <f t="shared" si="93"/>
        <v>0</v>
      </c>
      <c r="W136" s="248">
        <f t="shared" si="83"/>
        <v>0</v>
      </c>
      <c r="X136" s="89">
        <f t="shared" si="87"/>
        <v>-0.09999999999854481</v>
      </c>
    </row>
    <row r="137" spans="1:24" s="92" customFormat="1" ht="60" hidden="1">
      <c r="A137" s="29" t="s">
        <v>154</v>
      </c>
      <c r="B137" s="30">
        <v>41039700</v>
      </c>
      <c r="C137" s="3"/>
      <c r="D137" s="25">
        <f>K137-C137</f>
        <v>0</v>
      </c>
      <c r="E137" s="14" t="e">
        <f t="shared" si="47"/>
        <v>#DIV/0!</v>
      </c>
      <c r="F137" s="3"/>
      <c r="G137" s="216">
        <f>F137/12*9</f>
        <v>0</v>
      </c>
      <c r="H137" s="216">
        <f>F137/12*8+F137/12*11/22</f>
        <v>0</v>
      </c>
      <c r="I137" s="216"/>
      <c r="J137" s="216"/>
      <c r="K137" s="3"/>
      <c r="L137" s="3"/>
      <c r="M137" s="14" t="e">
        <f t="shared" si="88"/>
        <v>#DIV/0!</v>
      </c>
      <c r="N137" s="25"/>
      <c r="O137" s="264" t="e">
        <f t="shared" si="75"/>
        <v>#DIV/0!</v>
      </c>
      <c r="P137" s="264" t="e">
        <f t="shared" si="76"/>
        <v>#DIV/0!</v>
      </c>
      <c r="Q137" s="263">
        <f t="shared" si="77"/>
        <v>0</v>
      </c>
      <c r="R137" s="263">
        <f t="shared" si="78"/>
        <v>0</v>
      </c>
      <c r="S137" s="88">
        <f t="shared" si="90"/>
        <v>0</v>
      </c>
      <c r="T137" s="89">
        <f t="shared" si="91"/>
        <v>0</v>
      </c>
      <c r="U137" s="89" t="e">
        <f t="shared" si="92"/>
        <v>#DIV/0!</v>
      </c>
      <c r="V137" s="89" t="e">
        <f t="shared" si="93"/>
        <v>#DIV/0!</v>
      </c>
      <c r="W137" s="248">
        <f t="shared" si="83"/>
        <v>0</v>
      </c>
      <c r="X137" s="89">
        <f t="shared" si="87"/>
        <v>0</v>
      </c>
    </row>
    <row r="138" spans="1:24" s="224" customFormat="1" ht="20.25">
      <c r="A138" s="249" t="s">
        <v>236</v>
      </c>
      <c r="B138" s="204"/>
      <c r="C138" s="205">
        <f>C66+C67</f>
        <v>2708052.1759</v>
      </c>
      <c r="D138" s="250">
        <f>K138-C138</f>
        <v>-779511.0759000005</v>
      </c>
      <c r="E138" s="250">
        <f t="shared" si="47"/>
        <v>71.21506436112384</v>
      </c>
      <c r="F138" s="250">
        <f aca="true" t="shared" si="94" ref="F138:L138">F66+F67</f>
        <v>2763160</v>
      </c>
      <c r="G138" s="218">
        <f t="shared" si="94"/>
        <v>2763160</v>
      </c>
      <c r="H138" s="218">
        <f t="shared" si="94"/>
        <v>2763159.5</v>
      </c>
      <c r="I138" s="218">
        <f t="shared" si="94"/>
        <v>2186877.2</v>
      </c>
      <c r="J138" s="218">
        <f t="shared" si="94"/>
        <v>2082494.5</v>
      </c>
      <c r="K138" s="218">
        <f t="shared" si="94"/>
        <v>1928541.0999999996</v>
      </c>
      <c r="L138" s="218" t="e">
        <f t="shared" si="94"/>
        <v>#REF!</v>
      </c>
      <c r="M138" s="218">
        <f t="shared" si="88"/>
        <v>69.79476758493897</v>
      </c>
      <c r="N138" s="250">
        <f>K138-F138</f>
        <v>-834618.9000000004</v>
      </c>
      <c r="O138" s="250">
        <f t="shared" si="75"/>
        <v>69.794780214461</v>
      </c>
      <c r="P138" s="218">
        <f t="shared" si="76"/>
        <v>92.60726018724176</v>
      </c>
      <c r="Q138" s="250">
        <f t="shared" si="77"/>
        <v>-834618.4000000004</v>
      </c>
      <c r="R138" s="218">
        <f t="shared" si="78"/>
        <v>-153953.40000000037</v>
      </c>
      <c r="S138" s="116">
        <f t="shared" si="90"/>
        <v>0</v>
      </c>
      <c r="T138" s="117">
        <f t="shared" si="91"/>
        <v>0</v>
      </c>
      <c r="U138" s="117">
        <f t="shared" si="92"/>
        <v>0</v>
      </c>
      <c r="V138" s="117">
        <f t="shared" si="93"/>
        <v>0</v>
      </c>
      <c r="W138" s="251">
        <f t="shared" si="83"/>
        <v>0.5</v>
      </c>
      <c r="X138" s="117">
        <f t="shared" si="87"/>
        <v>104382.70000000019</v>
      </c>
    </row>
    <row r="139" spans="1:24" s="92" customFormat="1" ht="20.25">
      <c r="A139" s="813" t="s">
        <v>237</v>
      </c>
      <c r="B139" s="814"/>
      <c r="C139" s="814"/>
      <c r="D139" s="814"/>
      <c r="E139" s="814"/>
      <c r="F139" s="814"/>
      <c r="G139" s="814"/>
      <c r="H139" s="814"/>
      <c r="I139" s="814"/>
      <c r="J139" s="814"/>
      <c r="K139" s="814"/>
      <c r="L139" s="814"/>
      <c r="M139" s="814"/>
      <c r="N139" s="815"/>
      <c r="O139" s="301"/>
      <c r="P139" s="301"/>
      <c r="Q139" s="301"/>
      <c r="R139" s="302"/>
      <c r="S139" s="88">
        <f t="shared" si="90"/>
        <v>0</v>
      </c>
      <c r="T139" s="89">
        <f t="shared" si="91"/>
        <v>0</v>
      </c>
      <c r="U139" s="89" t="e">
        <f t="shared" si="92"/>
        <v>#DIV/0!</v>
      </c>
      <c r="V139" s="89" t="e">
        <f t="shared" si="93"/>
        <v>#DIV/0!</v>
      </c>
      <c r="W139" s="248">
        <f t="shared" si="83"/>
        <v>0</v>
      </c>
      <c r="X139" s="89">
        <f t="shared" si="87"/>
        <v>0</v>
      </c>
    </row>
    <row r="140" spans="1:24" s="150" customFormat="1" ht="20.25">
      <c r="A140" s="46" t="s">
        <v>66</v>
      </c>
      <c r="B140" s="47">
        <v>10000000</v>
      </c>
      <c r="C140" s="10">
        <f>C141+C144+C149</f>
        <v>2768353.8000000003</v>
      </c>
      <c r="D140" s="6">
        <f aca="true" t="shared" si="95" ref="D140:D182">K140-C140</f>
        <v>437863.5999999996</v>
      </c>
      <c r="E140" s="6">
        <f aca="true" t="shared" si="96" ref="E140:E182">K140/C140*100</f>
        <v>115.81675001222746</v>
      </c>
      <c r="F140" s="10">
        <f aca="true" t="shared" si="97" ref="F140:L140">F141+F144+F149</f>
        <v>3451.1</v>
      </c>
      <c r="G140" s="209">
        <f t="shared" si="97"/>
        <v>3451.1</v>
      </c>
      <c r="H140" s="209">
        <f t="shared" si="97"/>
        <v>3451.1</v>
      </c>
      <c r="I140" s="209">
        <f t="shared" si="97"/>
        <v>1973.7</v>
      </c>
      <c r="J140" s="209">
        <f>J141+J144+J149</f>
        <v>1973.6</v>
      </c>
      <c r="K140" s="10">
        <f t="shared" si="97"/>
        <v>3206217.4</v>
      </c>
      <c r="L140" s="10" t="e">
        <f t="shared" si="97"/>
        <v>#REF!</v>
      </c>
      <c r="M140" s="10">
        <f aca="true" t="shared" si="98" ref="M140:M182">K140/F140*100</f>
        <v>92904.21604705746</v>
      </c>
      <c r="N140" s="6">
        <f aca="true" t="shared" si="99" ref="N140:N182">K140-F140</f>
        <v>3202766.3</v>
      </c>
      <c r="O140" s="203">
        <f aca="true" t="shared" si="100" ref="O140:O182">K140/H140*100</f>
        <v>92904.21604705746</v>
      </c>
      <c r="P140" s="209">
        <f aca="true" t="shared" si="101" ref="P140:P182">K140/J140*100</f>
        <v>162455.2796919335</v>
      </c>
      <c r="Q140" s="203">
        <f aca="true" t="shared" si="102" ref="Q140:Q182">K140-H140</f>
        <v>3202766.3</v>
      </c>
      <c r="R140" s="209">
        <f aca="true" t="shared" si="103" ref="R140:R182">K140-J140</f>
        <v>3204243.8</v>
      </c>
      <c r="S140" s="88">
        <f t="shared" si="90"/>
        <v>0</v>
      </c>
      <c r="T140" s="89">
        <f t="shared" si="91"/>
        <v>0</v>
      </c>
      <c r="U140" s="89">
        <f t="shared" si="92"/>
        <v>0</v>
      </c>
      <c r="V140" s="89">
        <f t="shared" si="93"/>
        <v>0</v>
      </c>
      <c r="W140" s="248">
        <f t="shared" si="83"/>
        <v>0</v>
      </c>
      <c r="X140" s="89">
        <f t="shared" si="87"/>
        <v>0.10000000000013642</v>
      </c>
    </row>
    <row r="141" spans="1:24" s="150" customFormat="1" ht="20.25">
      <c r="A141" s="48" t="s">
        <v>265</v>
      </c>
      <c r="B141" s="47">
        <v>12000000</v>
      </c>
      <c r="C141" s="10">
        <f>C142+C143</f>
        <v>2768350.2</v>
      </c>
      <c r="D141" s="6">
        <f t="shared" si="95"/>
        <v>437867.1999999997</v>
      </c>
      <c r="E141" s="6">
        <f t="shared" si="96"/>
        <v>115.81690062189385</v>
      </c>
      <c r="F141" s="10">
        <f>F142+F143</f>
        <v>0</v>
      </c>
      <c r="G141" s="209">
        <f>G142+G143</f>
        <v>0</v>
      </c>
      <c r="H141" s="209"/>
      <c r="I141" s="209">
        <f>I142+I143</f>
        <v>0</v>
      </c>
      <c r="J141" s="209">
        <f>J142+J143</f>
        <v>0</v>
      </c>
      <c r="K141" s="10">
        <f>K142+K143</f>
        <v>3206217.4</v>
      </c>
      <c r="L141" s="10" t="e">
        <f>L142+L143</f>
        <v>#REF!</v>
      </c>
      <c r="M141" s="49" t="e">
        <f t="shared" si="98"/>
        <v>#DIV/0!</v>
      </c>
      <c r="N141" s="6">
        <f t="shared" si="99"/>
        <v>3206217.4</v>
      </c>
      <c r="O141" s="267" t="e">
        <f t="shared" si="100"/>
        <v>#DIV/0!</v>
      </c>
      <c r="P141" s="272" t="e">
        <f t="shared" si="101"/>
        <v>#DIV/0!</v>
      </c>
      <c r="Q141" s="203">
        <f t="shared" si="102"/>
        <v>3206217.4</v>
      </c>
      <c r="R141" s="209">
        <f t="shared" si="103"/>
        <v>3206217.4</v>
      </c>
      <c r="S141" s="88">
        <f t="shared" si="90"/>
        <v>0</v>
      </c>
      <c r="T141" s="89">
        <f t="shared" si="91"/>
        <v>0</v>
      </c>
      <c r="U141" s="89" t="e">
        <f t="shared" si="92"/>
        <v>#DIV/0!</v>
      </c>
      <c r="V141" s="89" t="e">
        <f t="shared" si="93"/>
        <v>#DIV/0!</v>
      </c>
      <c r="W141" s="248">
        <f t="shared" si="83"/>
        <v>0</v>
      </c>
      <c r="X141" s="89">
        <f t="shared" si="87"/>
        <v>0</v>
      </c>
    </row>
    <row r="142" spans="1:24" s="92" customFormat="1" ht="30">
      <c r="A142" s="51" t="s">
        <v>238</v>
      </c>
      <c r="B142" s="27">
        <v>12020000</v>
      </c>
      <c r="C142" s="7">
        <v>2768350.2</v>
      </c>
      <c r="D142" s="25">
        <f t="shared" si="95"/>
        <v>437867.1999999997</v>
      </c>
      <c r="E142" s="25">
        <f t="shared" si="96"/>
        <v>115.81690062189385</v>
      </c>
      <c r="F142" s="7"/>
      <c r="G142" s="219">
        <f>F142*$T$6</f>
        <v>0</v>
      </c>
      <c r="H142" s="219"/>
      <c r="I142" s="219"/>
      <c r="J142" s="219"/>
      <c r="K142" s="7">
        <v>3206217.4</v>
      </c>
      <c r="L142" s="3" t="e">
        <f>K142-#REF!</f>
        <v>#REF!</v>
      </c>
      <c r="M142" s="52" t="e">
        <f t="shared" si="98"/>
        <v>#DIV/0!</v>
      </c>
      <c r="N142" s="6">
        <f t="shared" si="99"/>
        <v>3206217.4</v>
      </c>
      <c r="O142" s="267" t="e">
        <f t="shared" si="100"/>
        <v>#DIV/0!</v>
      </c>
      <c r="P142" s="273" t="e">
        <f t="shared" si="101"/>
        <v>#DIV/0!</v>
      </c>
      <c r="Q142" s="263">
        <f t="shared" si="102"/>
        <v>3206217.4</v>
      </c>
      <c r="R142" s="219">
        <f t="shared" si="103"/>
        <v>3206217.4</v>
      </c>
      <c r="S142" s="88">
        <f t="shared" si="90"/>
        <v>0</v>
      </c>
      <c r="T142" s="89">
        <f t="shared" si="91"/>
        <v>0</v>
      </c>
      <c r="U142" s="89" t="e">
        <f t="shared" si="92"/>
        <v>#DIV/0!</v>
      </c>
      <c r="V142" s="89" t="e">
        <f t="shared" si="93"/>
        <v>#DIV/0!</v>
      </c>
      <c r="W142" s="248">
        <f t="shared" si="83"/>
        <v>0</v>
      </c>
      <c r="X142" s="89">
        <f t="shared" si="87"/>
        <v>0</v>
      </c>
    </row>
    <row r="143" spans="1:24" s="147" customFormat="1" ht="20.25" hidden="1">
      <c r="A143" s="53" t="s">
        <v>239</v>
      </c>
      <c r="B143" s="43" t="s">
        <v>240</v>
      </c>
      <c r="C143" s="10"/>
      <c r="D143" s="6">
        <f t="shared" si="95"/>
        <v>0</v>
      </c>
      <c r="E143" s="50" t="e">
        <f t="shared" si="96"/>
        <v>#DIV/0!</v>
      </c>
      <c r="F143" s="10"/>
      <c r="G143" s="209">
        <f>F143/12*2</f>
        <v>0</v>
      </c>
      <c r="H143" s="209">
        <f>F143/12*2+F143/12*6/22</f>
        <v>0</v>
      </c>
      <c r="I143" s="209"/>
      <c r="J143" s="209"/>
      <c r="K143" s="10"/>
      <c r="L143" s="3"/>
      <c r="M143" s="54" t="e">
        <f t="shared" si="98"/>
        <v>#DIV/0!</v>
      </c>
      <c r="N143" s="6">
        <f t="shared" si="99"/>
        <v>0</v>
      </c>
      <c r="O143" s="267" t="e">
        <f t="shared" si="100"/>
        <v>#DIV/0!</v>
      </c>
      <c r="P143" s="274" t="e">
        <f t="shared" si="101"/>
        <v>#DIV/0!</v>
      </c>
      <c r="Q143" s="203">
        <f t="shared" si="102"/>
        <v>0</v>
      </c>
      <c r="R143" s="209">
        <f t="shared" si="103"/>
        <v>0</v>
      </c>
      <c r="S143" s="88">
        <f t="shared" si="90"/>
        <v>0</v>
      </c>
      <c r="T143" s="89">
        <f t="shared" si="91"/>
        <v>0</v>
      </c>
      <c r="U143" s="89" t="e">
        <f t="shared" si="92"/>
        <v>#DIV/0!</v>
      </c>
      <c r="V143" s="89" t="e">
        <f t="shared" si="93"/>
        <v>#DIV/0!</v>
      </c>
      <c r="W143" s="248">
        <f t="shared" si="83"/>
        <v>0</v>
      </c>
      <c r="X143" s="89">
        <f t="shared" si="87"/>
        <v>0</v>
      </c>
    </row>
    <row r="144" spans="1:24" s="150" customFormat="1" ht="20.25">
      <c r="A144" s="48" t="s">
        <v>73</v>
      </c>
      <c r="B144" s="55">
        <v>18000000</v>
      </c>
      <c r="C144" s="10">
        <f>C146+C148+C145</f>
        <v>3.6</v>
      </c>
      <c r="D144" s="6">
        <f t="shared" si="95"/>
        <v>-3.6</v>
      </c>
      <c r="E144" s="110">
        <f t="shared" si="96"/>
        <v>0</v>
      </c>
      <c r="F144" s="10">
        <f>F146+F148+F145</f>
        <v>0</v>
      </c>
      <c r="G144" s="209">
        <f>G146+G148+G145</f>
        <v>0</v>
      </c>
      <c r="H144" s="209"/>
      <c r="I144" s="209">
        <f>I146+I148+I145</f>
        <v>0</v>
      </c>
      <c r="J144" s="209">
        <f>J146+J148+J145</f>
        <v>0</v>
      </c>
      <c r="K144" s="10">
        <f>K146+K148+K145</f>
        <v>0</v>
      </c>
      <c r="L144" s="10" t="e">
        <f>L146+L148+L145</f>
        <v>#REF!</v>
      </c>
      <c r="M144" s="49" t="e">
        <f t="shared" si="98"/>
        <v>#DIV/0!</v>
      </c>
      <c r="N144" s="6">
        <f t="shared" si="99"/>
        <v>0</v>
      </c>
      <c r="O144" s="267" t="e">
        <f t="shared" si="100"/>
        <v>#DIV/0!</v>
      </c>
      <c r="P144" s="272" t="e">
        <f t="shared" si="101"/>
        <v>#DIV/0!</v>
      </c>
      <c r="Q144" s="203">
        <f t="shared" si="102"/>
        <v>0</v>
      </c>
      <c r="R144" s="209">
        <f t="shared" si="103"/>
        <v>0</v>
      </c>
      <c r="S144" s="88">
        <f t="shared" si="90"/>
        <v>0</v>
      </c>
      <c r="T144" s="89">
        <f t="shared" si="91"/>
        <v>0</v>
      </c>
      <c r="U144" s="89" t="e">
        <f t="shared" si="92"/>
        <v>#DIV/0!</v>
      </c>
      <c r="V144" s="89" t="e">
        <f t="shared" si="93"/>
        <v>#DIV/0!</v>
      </c>
      <c r="W144" s="248">
        <f t="shared" si="83"/>
        <v>0</v>
      </c>
      <c r="X144" s="89">
        <f t="shared" si="87"/>
        <v>0</v>
      </c>
    </row>
    <row r="145" spans="1:24" s="152" customFormat="1" ht="20.25" hidden="1">
      <c r="A145" s="56" t="s">
        <v>241</v>
      </c>
      <c r="B145" s="30" t="s">
        <v>242</v>
      </c>
      <c r="C145" s="7"/>
      <c r="D145" s="25">
        <f t="shared" si="95"/>
        <v>0</v>
      </c>
      <c r="E145" s="14" t="e">
        <f t="shared" si="96"/>
        <v>#DIV/0!</v>
      </c>
      <c r="F145" s="7"/>
      <c r="G145" s="219">
        <f>F145/12*11</f>
        <v>0</v>
      </c>
      <c r="H145" s="219">
        <f>F145/12*2+F145/12*17/22</f>
        <v>0</v>
      </c>
      <c r="I145" s="219"/>
      <c r="J145" s="219"/>
      <c r="K145" s="7"/>
      <c r="L145" s="3"/>
      <c r="M145" s="57" t="e">
        <f t="shared" si="98"/>
        <v>#DIV/0!</v>
      </c>
      <c r="N145" s="25">
        <f t="shared" si="99"/>
        <v>0</v>
      </c>
      <c r="O145" s="264" t="e">
        <f t="shared" si="100"/>
        <v>#DIV/0!</v>
      </c>
      <c r="P145" s="275" t="e">
        <f t="shared" si="101"/>
        <v>#DIV/0!</v>
      </c>
      <c r="Q145" s="263">
        <f t="shared" si="102"/>
        <v>0</v>
      </c>
      <c r="R145" s="263">
        <f t="shared" si="103"/>
        <v>0</v>
      </c>
      <c r="S145" s="88">
        <f t="shared" si="90"/>
        <v>0</v>
      </c>
      <c r="T145" s="89">
        <f t="shared" si="91"/>
        <v>0</v>
      </c>
      <c r="U145" s="89" t="e">
        <f t="shared" si="92"/>
        <v>#DIV/0!</v>
      </c>
      <c r="V145" s="89" t="e">
        <f t="shared" si="93"/>
        <v>#DIV/0!</v>
      </c>
      <c r="W145" s="248">
        <f t="shared" si="83"/>
        <v>0</v>
      </c>
      <c r="X145" s="89">
        <f t="shared" si="87"/>
        <v>0</v>
      </c>
    </row>
    <row r="146" spans="1:24" s="92" customFormat="1" ht="30">
      <c r="A146" s="58" t="s">
        <v>128</v>
      </c>
      <c r="B146" s="27" t="s">
        <v>75</v>
      </c>
      <c r="C146" s="7">
        <f>C147</f>
        <v>3.6</v>
      </c>
      <c r="D146" s="25">
        <f t="shared" si="95"/>
        <v>-3.6</v>
      </c>
      <c r="E146" s="93">
        <f t="shared" si="96"/>
        <v>0</v>
      </c>
      <c r="F146" s="7">
        <f>F147</f>
        <v>0</v>
      </c>
      <c r="G146" s="219">
        <f>G147</f>
        <v>0</v>
      </c>
      <c r="H146" s="219"/>
      <c r="I146" s="219">
        <f>I147</f>
        <v>0</v>
      </c>
      <c r="J146" s="219">
        <f>J147</f>
        <v>0</v>
      </c>
      <c r="K146" s="7">
        <f>K147</f>
        <v>0</v>
      </c>
      <c r="L146" s="7" t="e">
        <f>K146-#REF!</f>
        <v>#REF!</v>
      </c>
      <c r="M146" s="57" t="e">
        <f t="shared" si="98"/>
        <v>#DIV/0!</v>
      </c>
      <c r="N146" s="25">
        <f t="shared" si="99"/>
        <v>0</v>
      </c>
      <c r="O146" s="264" t="e">
        <f t="shared" si="100"/>
        <v>#DIV/0!</v>
      </c>
      <c r="P146" s="275" t="e">
        <f t="shared" si="101"/>
        <v>#DIV/0!</v>
      </c>
      <c r="Q146" s="263">
        <f t="shared" si="102"/>
        <v>0</v>
      </c>
      <c r="R146" s="219">
        <f t="shared" si="103"/>
        <v>0</v>
      </c>
      <c r="S146" s="88">
        <f t="shared" si="90"/>
        <v>0</v>
      </c>
      <c r="T146" s="89">
        <f t="shared" si="91"/>
        <v>0</v>
      </c>
      <c r="U146" s="89" t="e">
        <f t="shared" si="92"/>
        <v>#DIV/0!</v>
      </c>
      <c r="V146" s="89" t="e">
        <f t="shared" si="93"/>
        <v>#DIV/0!</v>
      </c>
      <c r="W146" s="248">
        <f t="shared" si="83"/>
        <v>0</v>
      </c>
      <c r="X146" s="89">
        <f t="shared" si="87"/>
        <v>0</v>
      </c>
    </row>
    <row r="147" spans="1:24" s="145" customFormat="1" ht="60">
      <c r="A147" s="59" t="s">
        <v>299</v>
      </c>
      <c r="B147" s="33" t="s">
        <v>243</v>
      </c>
      <c r="C147" s="22">
        <v>3.6</v>
      </c>
      <c r="D147" s="25">
        <f t="shared" si="95"/>
        <v>-3.6</v>
      </c>
      <c r="E147" s="93">
        <f t="shared" si="96"/>
        <v>0</v>
      </c>
      <c r="F147" s="22"/>
      <c r="G147" s="220">
        <f>F147*$T$6</f>
        <v>0</v>
      </c>
      <c r="H147" s="220"/>
      <c r="I147" s="220"/>
      <c r="J147" s="220"/>
      <c r="K147" s="22"/>
      <c r="L147" s="3" t="e">
        <f>K147-#REF!</f>
        <v>#REF!</v>
      </c>
      <c r="M147" s="60" t="e">
        <f t="shared" si="98"/>
        <v>#DIV/0!</v>
      </c>
      <c r="N147" s="25">
        <f t="shared" si="99"/>
        <v>0</v>
      </c>
      <c r="O147" s="264" t="e">
        <f t="shared" si="100"/>
        <v>#DIV/0!</v>
      </c>
      <c r="P147" s="276" t="e">
        <f t="shared" si="101"/>
        <v>#DIV/0!</v>
      </c>
      <c r="Q147" s="263">
        <f t="shared" si="102"/>
        <v>0</v>
      </c>
      <c r="R147" s="219">
        <f t="shared" si="103"/>
        <v>0</v>
      </c>
      <c r="S147" s="88">
        <f t="shared" si="90"/>
        <v>0</v>
      </c>
      <c r="T147" s="89">
        <f t="shared" si="91"/>
        <v>0</v>
      </c>
      <c r="U147" s="89" t="e">
        <f t="shared" si="92"/>
        <v>#DIV/0!</v>
      </c>
      <c r="V147" s="89" t="e">
        <f t="shared" si="93"/>
        <v>#DIV/0!</v>
      </c>
      <c r="W147" s="248">
        <f t="shared" si="83"/>
        <v>0</v>
      </c>
      <c r="X147" s="89">
        <f t="shared" si="87"/>
        <v>0</v>
      </c>
    </row>
    <row r="148" spans="1:24" s="145" customFormat="1" ht="20.25" hidden="1">
      <c r="A148" s="29" t="s">
        <v>244</v>
      </c>
      <c r="B148" s="30" t="s">
        <v>245</v>
      </c>
      <c r="C148" s="7"/>
      <c r="D148" s="25">
        <f t="shared" si="95"/>
        <v>0</v>
      </c>
      <c r="E148" s="14" t="e">
        <f t="shared" si="96"/>
        <v>#DIV/0!</v>
      </c>
      <c r="F148" s="7"/>
      <c r="G148" s="219">
        <f>F148/12*11</f>
        <v>0</v>
      </c>
      <c r="H148" s="219">
        <f>F148/12*2+F148/12*17/22</f>
        <v>0</v>
      </c>
      <c r="I148" s="219"/>
      <c r="J148" s="219"/>
      <c r="K148" s="7"/>
      <c r="L148" s="3"/>
      <c r="M148" s="52" t="e">
        <f t="shared" si="98"/>
        <v>#DIV/0!</v>
      </c>
      <c r="N148" s="25">
        <f t="shared" si="99"/>
        <v>0</v>
      </c>
      <c r="O148" s="264" t="e">
        <f t="shared" si="100"/>
        <v>#DIV/0!</v>
      </c>
      <c r="P148" s="273" t="e">
        <f t="shared" si="101"/>
        <v>#DIV/0!</v>
      </c>
      <c r="Q148" s="263">
        <f t="shared" si="102"/>
        <v>0</v>
      </c>
      <c r="R148" s="219">
        <f t="shared" si="103"/>
        <v>0</v>
      </c>
      <c r="S148" s="88">
        <f t="shared" si="90"/>
        <v>0</v>
      </c>
      <c r="T148" s="89">
        <f t="shared" si="91"/>
        <v>0</v>
      </c>
      <c r="U148" s="89" t="e">
        <f t="shared" si="92"/>
        <v>#DIV/0!</v>
      </c>
      <c r="V148" s="89" t="e">
        <f t="shared" si="93"/>
        <v>#DIV/0!</v>
      </c>
      <c r="W148" s="248">
        <f t="shared" si="83"/>
        <v>0</v>
      </c>
      <c r="X148" s="89">
        <f t="shared" si="87"/>
        <v>0</v>
      </c>
    </row>
    <row r="149" spans="1:24" s="145" customFormat="1" ht="20.25">
      <c r="A149" s="61" t="s">
        <v>76</v>
      </c>
      <c r="B149" s="55" t="s">
        <v>246</v>
      </c>
      <c r="C149" s="10">
        <f>C150</f>
        <v>0</v>
      </c>
      <c r="D149" s="6">
        <f t="shared" si="95"/>
        <v>0</v>
      </c>
      <c r="E149" s="6" t="e">
        <f t="shared" si="96"/>
        <v>#DIV/0!</v>
      </c>
      <c r="F149" s="10">
        <f aca="true" t="shared" si="104" ref="F149:L149">F150</f>
        <v>3451.1</v>
      </c>
      <c r="G149" s="209">
        <f t="shared" si="104"/>
        <v>3451.1</v>
      </c>
      <c r="H149" s="209">
        <f t="shared" si="104"/>
        <v>3451.1</v>
      </c>
      <c r="I149" s="209">
        <f t="shared" si="104"/>
        <v>1973.7</v>
      </c>
      <c r="J149" s="209">
        <f t="shared" si="104"/>
        <v>1973.6</v>
      </c>
      <c r="K149" s="10">
        <f t="shared" si="104"/>
        <v>0</v>
      </c>
      <c r="L149" s="10" t="e">
        <f t="shared" si="104"/>
        <v>#REF!</v>
      </c>
      <c r="M149" s="62">
        <f t="shared" si="98"/>
        <v>0</v>
      </c>
      <c r="N149" s="6">
        <f t="shared" si="99"/>
        <v>-3451.1</v>
      </c>
      <c r="O149" s="203">
        <f t="shared" si="100"/>
        <v>0</v>
      </c>
      <c r="P149" s="210">
        <f t="shared" si="101"/>
        <v>0</v>
      </c>
      <c r="Q149" s="203">
        <f t="shared" si="102"/>
        <v>-3451.1</v>
      </c>
      <c r="R149" s="209">
        <f t="shared" si="103"/>
        <v>-1973.6</v>
      </c>
      <c r="S149" s="88">
        <f t="shared" si="90"/>
        <v>0</v>
      </c>
      <c r="T149" s="89">
        <f t="shared" si="91"/>
        <v>0</v>
      </c>
      <c r="U149" s="89">
        <f t="shared" si="92"/>
        <v>0</v>
      </c>
      <c r="V149" s="89">
        <f t="shared" si="93"/>
        <v>0</v>
      </c>
      <c r="W149" s="248">
        <f t="shared" si="83"/>
        <v>0</v>
      </c>
      <c r="X149" s="89">
        <f t="shared" si="87"/>
        <v>0.10000000000013642</v>
      </c>
    </row>
    <row r="150" spans="1:24" s="145" customFormat="1" ht="20.25">
      <c r="A150" s="29" t="s">
        <v>247</v>
      </c>
      <c r="B150" s="30" t="s">
        <v>248</v>
      </c>
      <c r="C150" s="7">
        <v>0</v>
      </c>
      <c r="D150" s="25">
        <f t="shared" si="95"/>
        <v>0</v>
      </c>
      <c r="E150" s="25" t="e">
        <f t="shared" si="96"/>
        <v>#DIV/0!</v>
      </c>
      <c r="F150" s="7">
        <v>3451.1</v>
      </c>
      <c r="G150" s="219">
        <f>ROUND(F150*$T$6,1)</f>
        <v>3451.1</v>
      </c>
      <c r="H150" s="219">
        <f>ROUND(F150*$T$7+F150*$T$8,1)</f>
        <v>3451.1</v>
      </c>
      <c r="I150" s="219">
        <v>1973.7</v>
      </c>
      <c r="J150" s="219">
        <v>1973.6</v>
      </c>
      <c r="K150" s="7">
        <v>0</v>
      </c>
      <c r="L150" s="3" t="e">
        <f>K150-#REF!</f>
        <v>#REF!</v>
      </c>
      <c r="M150" s="63">
        <f t="shared" si="98"/>
        <v>0</v>
      </c>
      <c r="N150" s="25">
        <f t="shared" si="99"/>
        <v>-3451.1</v>
      </c>
      <c r="O150" s="263">
        <f t="shared" si="100"/>
        <v>0</v>
      </c>
      <c r="P150" s="277">
        <f t="shared" si="101"/>
        <v>0</v>
      </c>
      <c r="Q150" s="263">
        <f t="shared" si="102"/>
        <v>-3451.1</v>
      </c>
      <c r="R150" s="219">
        <f t="shared" si="103"/>
        <v>-1973.6</v>
      </c>
      <c r="S150" s="88">
        <f t="shared" si="90"/>
        <v>0</v>
      </c>
      <c r="T150" s="89">
        <f t="shared" si="91"/>
        <v>0</v>
      </c>
      <c r="U150" s="89">
        <f t="shared" si="92"/>
        <v>0</v>
      </c>
      <c r="V150" s="89">
        <f t="shared" si="93"/>
        <v>0</v>
      </c>
      <c r="W150" s="248">
        <f t="shared" si="83"/>
        <v>0</v>
      </c>
      <c r="X150" s="89">
        <f t="shared" si="87"/>
        <v>0.10000000000013642</v>
      </c>
    </row>
    <row r="151" spans="1:24" s="150" customFormat="1" ht="20.25">
      <c r="A151" s="61" t="s">
        <v>77</v>
      </c>
      <c r="B151" s="55">
        <v>20000000</v>
      </c>
      <c r="C151" s="10">
        <f>C153+C161+C152</f>
        <v>61059.899999999994</v>
      </c>
      <c r="D151" s="6">
        <f t="shared" si="95"/>
        <v>7468.900000000009</v>
      </c>
      <c r="E151" s="100">
        <f t="shared" si="96"/>
        <v>112.2320868524187</v>
      </c>
      <c r="F151" s="10">
        <f>F153+F161</f>
        <v>61127.6</v>
      </c>
      <c r="G151" s="209">
        <f>G153+G161+G152</f>
        <v>61127.6</v>
      </c>
      <c r="H151" s="209">
        <f>H153+H161+H152</f>
        <v>61127.6</v>
      </c>
      <c r="I151" s="209">
        <f>I153+I161+I152</f>
        <v>58834.1</v>
      </c>
      <c r="J151" s="209">
        <f>J153+J161+J152</f>
        <v>58736</v>
      </c>
      <c r="K151" s="10">
        <f>K152+K153+K161</f>
        <v>68528.8</v>
      </c>
      <c r="L151" s="10" t="e">
        <f>L152+L153+L161</f>
        <v>#REF!</v>
      </c>
      <c r="M151" s="10">
        <f t="shared" si="98"/>
        <v>112.10778764420655</v>
      </c>
      <c r="N151" s="6">
        <f t="shared" si="99"/>
        <v>7401.200000000004</v>
      </c>
      <c r="O151" s="203">
        <f t="shared" si="100"/>
        <v>112.10778764420655</v>
      </c>
      <c r="P151" s="209">
        <f t="shared" si="101"/>
        <v>116.67256878234812</v>
      </c>
      <c r="Q151" s="203">
        <f t="shared" si="102"/>
        <v>7401.200000000004</v>
      </c>
      <c r="R151" s="209">
        <f t="shared" si="103"/>
        <v>9792.800000000003</v>
      </c>
      <c r="S151" s="88">
        <f t="shared" si="90"/>
        <v>0</v>
      </c>
      <c r="T151" s="89">
        <f t="shared" si="91"/>
        <v>0</v>
      </c>
      <c r="U151" s="89">
        <f t="shared" si="92"/>
        <v>0</v>
      </c>
      <c r="V151" s="89">
        <f t="shared" si="93"/>
        <v>0</v>
      </c>
      <c r="W151" s="248">
        <f t="shared" si="83"/>
        <v>0</v>
      </c>
      <c r="X151" s="89">
        <f t="shared" si="87"/>
        <v>98.09999999999854</v>
      </c>
    </row>
    <row r="152" spans="1:24" s="150" customFormat="1" ht="31.5" hidden="1">
      <c r="A152" s="61" t="s">
        <v>115</v>
      </c>
      <c r="B152" s="55">
        <v>21110000</v>
      </c>
      <c r="C152" s="10"/>
      <c r="D152" s="6">
        <f t="shared" si="95"/>
        <v>0</v>
      </c>
      <c r="E152" s="50" t="e">
        <f t="shared" si="96"/>
        <v>#DIV/0!</v>
      </c>
      <c r="F152" s="10"/>
      <c r="G152" s="209"/>
      <c r="H152" s="209"/>
      <c r="I152" s="209"/>
      <c r="J152" s="209"/>
      <c r="K152" s="10"/>
      <c r="L152" s="3">
        <f>K152</f>
        <v>0</v>
      </c>
      <c r="M152" s="49" t="e">
        <f t="shared" si="98"/>
        <v>#DIV/0!</v>
      </c>
      <c r="N152" s="6">
        <f t="shared" si="99"/>
        <v>0</v>
      </c>
      <c r="O152" s="267" t="e">
        <f t="shared" si="100"/>
        <v>#DIV/0!</v>
      </c>
      <c r="P152" s="272" t="e">
        <f t="shared" si="101"/>
        <v>#DIV/0!</v>
      </c>
      <c r="Q152" s="203">
        <f t="shared" si="102"/>
        <v>0</v>
      </c>
      <c r="R152" s="209">
        <f t="shared" si="103"/>
        <v>0</v>
      </c>
      <c r="S152" s="88">
        <f t="shared" si="90"/>
        <v>0</v>
      </c>
      <c r="T152" s="89">
        <f t="shared" si="91"/>
        <v>0</v>
      </c>
      <c r="U152" s="89" t="e">
        <f t="shared" si="92"/>
        <v>#DIV/0!</v>
      </c>
      <c r="V152" s="89" t="e">
        <f t="shared" si="93"/>
        <v>#DIV/0!</v>
      </c>
      <c r="W152" s="248">
        <f t="shared" si="83"/>
        <v>0</v>
      </c>
      <c r="X152" s="89">
        <f t="shared" si="87"/>
        <v>0</v>
      </c>
    </row>
    <row r="153" spans="1:24" s="150" customFormat="1" ht="20.25">
      <c r="A153" s="61" t="s">
        <v>89</v>
      </c>
      <c r="B153" s="55">
        <v>24000000</v>
      </c>
      <c r="C153" s="10">
        <f>C154+C157+C160</f>
        <v>1280.2</v>
      </c>
      <c r="D153" s="6">
        <f t="shared" si="95"/>
        <v>530.8999999999999</v>
      </c>
      <c r="E153" s="6">
        <f t="shared" si="96"/>
        <v>141.47008279956253</v>
      </c>
      <c r="F153" s="10">
        <f aca="true" t="shared" si="105" ref="F153:L153">F154+F157+F160</f>
        <v>2976.5</v>
      </c>
      <c r="G153" s="209">
        <f t="shared" si="105"/>
        <v>2976.5</v>
      </c>
      <c r="H153" s="209">
        <f t="shared" si="105"/>
        <v>2976.5</v>
      </c>
      <c r="I153" s="209">
        <f t="shared" si="105"/>
        <v>683</v>
      </c>
      <c r="J153" s="209">
        <f>J154+J157+J160</f>
        <v>584.9</v>
      </c>
      <c r="K153" s="10">
        <f t="shared" si="105"/>
        <v>1811.1</v>
      </c>
      <c r="L153" s="10" t="e">
        <f t="shared" si="105"/>
        <v>#REF!</v>
      </c>
      <c r="M153" s="62">
        <f t="shared" si="98"/>
        <v>60.846631950277164</v>
      </c>
      <c r="N153" s="6">
        <f t="shared" si="99"/>
        <v>-1165.4</v>
      </c>
      <c r="O153" s="203">
        <f t="shared" si="100"/>
        <v>60.846631950277164</v>
      </c>
      <c r="P153" s="210">
        <f t="shared" si="101"/>
        <v>309.6426739613609</v>
      </c>
      <c r="Q153" s="203">
        <f t="shared" si="102"/>
        <v>-1165.4</v>
      </c>
      <c r="R153" s="209">
        <f t="shared" si="103"/>
        <v>1226.1999999999998</v>
      </c>
      <c r="S153" s="88">
        <f t="shared" si="90"/>
        <v>0</v>
      </c>
      <c r="T153" s="89">
        <f t="shared" si="91"/>
        <v>0</v>
      </c>
      <c r="U153" s="89">
        <f t="shared" si="92"/>
        <v>0</v>
      </c>
      <c r="V153" s="89">
        <f t="shared" si="93"/>
        <v>0</v>
      </c>
      <c r="W153" s="248">
        <f t="shared" si="83"/>
        <v>0</v>
      </c>
      <c r="X153" s="89">
        <f t="shared" si="87"/>
        <v>98.10000000000002</v>
      </c>
    </row>
    <row r="154" spans="1:24" s="161" customFormat="1" ht="20.25">
      <c r="A154" s="58" t="s">
        <v>292</v>
      </c>
      <c r="B154" s="30">
        <v>24060000</v>
      </c>
      <c r="C154" s="7">
        <f>C155+C156</f>
        <v>736.4</v>
      </c>
      <c r="D154" s="25">
        <f t="shared" si="95"/>
        <v>148</v>
      </c>
      <c r="E154" s="25">
        <f t="shared" si="96"/>
        <v>120.09777294948398</v>
      </c>
      <c r="F154" s="7">
        <f aca="true" t="shared" si="106" ref="F154:L154">F156+F155</f>
        <v>230</v>
      </c>
      <c r="G154" s="219">
        <f t="shared" si="106"/>
        <v>230</v>
      </c>
      <c r="H154" s="219">
        <f t="shared" si="106"/>
        <v>230</v>
      </c>
      <c r="I154" s="219">
        <f t="shared" si="106"/>
        <v>62.7</v>
      </c>
      <c r="J154" s="219">
        <f t="shared" si="106"/>
        <v>62.2</v>
      </c>
      <c r="K154" s="7">
        <f t="shared" si="106"/>
        <v>884.4</v>
      </c>
      <c r="L154" s="7" t="e">
        <f t="shared" si="106"/>
        <v>#REF!</v>
      </c>
      <c r="M154" s="63">
        <f t="shared" si="98"/>
        <v>384.5217391304348</v>
      </c>
      <c r="N154" s="25">
        <f t="shared" si="99"/>
        <v>654.4</v>
      </c>
      <c r="O154" s="263">
        <f t="shared" si="100"/>
        <v>384.5217391304348</v>
      </c>
      <c r="P154" s="277">
        <f t="shared" si="101"/>
        <v>1421.8649517684887</v>
      </c>
      <c r="Q154" s="263">
        <f t="shared" si="102"/>
        <v>654.4</v>
      </c>
      <c r="R154" s="219">
        <f t="shared" si="103"/>
        <v>822.1999999999999</v>
      </c>
      <c r="S154" s="88">
        <f t="shared" si="90"/>
        <v>0</v>
      </c>
      <c r="T154" s="89">
        <f t="shared" si="91"/>
        <v>0</v>
      </c>
      <c r="U154" s="89">
        <f t="shared" si="92"/>
        <v>0</v>
      </c>
      <c r="V154" s="89">
        <f t="shared" si="93"/>
        <v>0</v>
      </c>
      <c r="W154" s="248">
        <f t="shared" si="83"/>
        <v>0</v>
      </c>
      <c r="X154" s="89">
        <f t="shared" si="87"/>
        <v>0.5</v>
      </c>
    </row>
    <row r="155" spans="1:24" s="145" customFormat="1" ht="30">
      <c r="A155" s="64" t="s">
        <v>249</v>
      </c>
      <c r="B155" s="33">
        <v>24061600</v>
      </c>
      <c r="C155" s="22">
        <v>736.4</v>
      </c>
      <c r="D155" s="36">
        <f t="shared" si="95"/>
        <v>148</v>
      </c>
      <c r="E155" s="25">
        <f t="shared" si="96"/>
        <v>120.09777294948398</v>
      </c>
      <c r="F155" s="22">
        <v>200</v>
      </c>
      <c r="G155" s="220">
        <f>ROUND(F155*$T$6,1)</f>
        <v>200</v>
      </c>
      <c r="H155" s="219">
        <f>ROUND(F155*$T$7+F155*$T$8,1)</f>
        <v>200</v>
      </c>
      <c r="I155" s="220">
        <v>60</v>
      </c>
      <c r="J155" s="220">
        <v>60</v>
      </c>
      <c r="K155" s="22">
        <v>884.4</v>
      </c>
      <c r="L155" s="3" t="e">
        <f>K155-#REF!</f>
        <v>#REF!</v>
      </c>
      <c r="M155" s="65">
        <f t="shared" si="98"/>
        <v>442.2</v>
      </c>
      <c r="N155" s="36">
        <f t="shared" si="99"/>
        <v>684.4</v>
      </c>
      <c r="O155" s="266">
        <f t="shared" si="100"/>
        <v>442.2</v>
      </c>
      <c r="P155" s="278">
        <f t="shared" si="101"/>
        <v>1474</v>
      </c>
      <c r="Q155" s="266">
        <f t="shared" si="102"/>
        <v>684.4</v>
      </c>
      <c r="R155" s="220">
        <f t="shared" si="103"/>
        <v>824.4</v>
      </c>
      <c r="S155" s="88">
        <f t="shared" si="90"/>
        <v>0</v>
      </c>
      <c r="T155" s="89">
        <f t="shared" si="91"/>
        <v>0</v>
      </c>
      <c r="U155" s="89">
        <f t="shared" si="92"/>
        <v>0</v>
      </c>
      <c r="V155" s="89">
        <f t="shared" si="93"/>
        <v>0</v>
      </c>
      <c r="W155" s="248">
        <f t="shared" si="83"/>
        <v>0</v>
      </c>
      <c r="X155" s="89">
        <f t="shared" si="87"/>
        <v>0</v>
      </c>
    </row>
    <row r="156" spans="1:24" s="145" customFormat="1" ht="45">
      <c r="A156" s="59" t="s">
        <v>250</v>
      </c>
      <c r="B156" s="33">
        <v>24062100</v>
      </c>
      <c r="C156" s="22">
        <v>0</v>
      </c>
      <c r="D156" s="25">
        <f t="shared" si="95"/>
        <v>0</v>
      </c>
      <c r="E156" s="25" t="e">
        <f t="shared" si="96"/>
        <v>#DIV/0!</v>
      </c>
      <c r="F156" s="22">
        <v>30</v>
      </c>
      <c r="G156" s="220">
        <f>ROUND(F156*$T$6,1)</f>
        <v>30</v>
      </c>
      <c r="H156" s="219">
        <f>ROUND(F156*$T$7+F156*$T$8,1)</f>
        <v>30</v>
      </c>
      <c r="I156" s="220">
        <v>2.7</v>
      </c>
      <c r="J156" s="220">
        <v>2.2</v>
      </c>
      <c r="K156" s="22">
        <v>0</v>
      </c>
      <c r="L156" s="3" t="e">
        <f>K156-#REF!</f>
        <v>#REF!</v>
      </c>
      <c r="M156" s="22">
        <f t="shared" si="98"/>
        <v>0</v>
      </c>
      <c r="N156" s="22">
        <f t="shared" si="99"/>
        <v>-30</v>
      </c>
      <c r="O156" s="220">
        <f t="shared" si="100"/>
        <v>0</v>
      </c>
      <c r="P156" s="220">
        <f t="shared" si="101"/>
        <v>0</v>
      </c>
      <c r="Q156" s="220">
        <f t="shared" si="102"/>
        <v>-30</v>
      </c>
      <c r="R156" s="219">
        <f t="shared" si="103"/>
        <v>-2.2</v>
      </c>
      <c r="S156" s="88">
        <f t="shared" si="90"/>
        <v>0</v>
      </c>
      <c r="T156" s="89">
        <f t="shared" si="91"/>
        <v>0</v>
      </c>
      <c r="U156" s="89">
        <f t="shared" si="92"/>
        <v>0</v>
      </c>
      <c r="V156" s="89">
        <f t="shared" si="93"/>
        <v>0</v>
      </c>
      <c r="W156" s="248">
        <f t="shared" si="83"/>
        <v>0</v>
      </c>
      <c r="X156" s="89">
        <f t="shared" si="87"/>
        <v>0.5</v>
      </c>
    </row>
    <row r="157" spans="1:24" s="150" customFormat="1" ht="20.25">
      <c r="A157" s="66" t="s">
        <v>251</v>
      </c>
      <c r="B157" s="67">
        <v>24110000</v>
      </c>
      <c r="C157" s="10">
        <f>C158+C159</f>
        <v>376.9</v>
      </c>
      <c r="D157" s="6">
        <f t="shared" si="95"/>
        <v>482.9</v>
      </c>
      <c r="E157" s="6">
        <f t="shared" si="96"/>
        <v>228.12417086760414</v>
      </c>
      <c r="F157" s="10">
        <f aca="true" t="shared" si="107" ref="F157:L157">F159+F158</f>
        <v>189.9</v>
      </c>
      <c r="G157" s="209">
        <f t="shared" si="107"/>
        <v>189.9</v>
      </c>
      <c r="H157" s="209">
        <f>ROUND(H159+H158,1)</f>
        <v>189.9</v>
      </c>
      <c r="I157" s="209">
        <f t="shared" si="107"/>
        <v>6.3</v>
      </c>
      <c r="J157" s="209">
        <f t="shared" si="107"/>
        <v>4.2</v>
      </c>
      <c r="K157" s="10">
        <f t="shared" si="107"/>
        <v>859.8</v>
      </c>
      <c r="L157" s="10" t="e">
        <f t="shared" si="107"/>
        <v>#REF!</v>
      </c>
      <c r="M157" s="62">
        <f t="shared" si="98"/>
        <v>452.7646129541864</v>
      </c>
      <c r="N157" s="6">
        <f t="shared" si="99"/>
        <v>669.9</v>
      </c>
      <c r="O157" s="203">
        <f t="shared" si="100"/>
        <v>452.7646129541864</v>
      </c>
      <c r="P157" s="210">
        <f t="shared" si="101"/>
        <v>20471.42857142857</v>
      </c>
      <c r="Q157" s="203">
        <f t="shared" si="102"/>
        <v>669.9</v>
      </c>
      <c r="R157" s="209">
        <f t="shared" si="103"/>
        <v>855.5999999999999</v>
      </c>
      <c r="S157" s="88">
        <f t="shared" si="90"/>
        <v>0</v>
      </c>
      <c r="T157" s="89">
        <f t="shared" si="91"/>
        <v>0</v>
      </c>
      <c r="U157" s="89">
        <f t="shared" si="92"/>
        <v>0</v>
      </c>
      <c r="V157" s="89">
        <f t="shared" si="93"/>
        <v>0</v>
      </c>
      <c r="W157" s="248">
        <f t="shared" si="83"/>
        <v>0</v>
      </c>
      <c r="X157" s="89">
        <f t="shared" si="87"/>
        <v>2.0999999999999996</v>
      </c>
    </row>
    <row r="158" spans="1:24" s="152" customFormat="1" ht="20.25">
      <c r="A158" s="68" t="s">
        <v>252</v>
      </c>
      <c r="B158" s="69">
        <v>24110600</v>
      </c>
      <c r="C158" s="7">
        <v>250</v>
      </c>
      <c r="D158" s="25">
        <f t="shared" si="95"/>
        <v>15</v>
      </c>
      <c r="E158" s="25">
        <f t="shared" si="96"/>
        <v>106</v>
      </c>
      <c r="F158" s="7">
        <v>188.5</v>
      </c>
      <c r="G158" s="219">
        <f>ROUND(F158*$T$6,1)</f>
        <v>188.5</v>
      </c>
      <c r="H158" s="219">
        <f>ROUND(F158*$T$7+F158*$T$8,1)</f>
        <v>188.5</v>
      </c>
      <c r="I158" s="219">
        <v>0</v>
      </c>
      <c r="J158" s="219">
        <v>0</v>
      </c>
      <c r="K158" s="7">
        <v>265</v>
      </c>
      <c r="L158" s="3" t="e">
        <f>K158-#REF!</f>
        <v>#REF!</v>
      </c>
      <c r="M158" s="7">
        <f t="shared" si="98"/>
        <v>140.58355437665782</v>
      </c>
      <c r="N158" s="7">
        <f t="shared" si="99"/>
        <v>76.5</v>
      </c>
      <c r="O158" s="219">
        <f t="shared" si="100"/>
        <v>140.58355437665782</v>
      </c>
      <c r="P158" s="277" t="e">
        <f t="shared" si="101"/>
        <v>#DIV/0!</v>
      </c>
      <c r="Q158" s="263">
        <f t="shared" si="102"/>
        <v>76.5</v>
      </c>
      <c r="R158" s="219">
        <f t="shared" si="103"/>
        <v>265</v>
      </c>
      <c r="S158" s="88">
        <f t="shared" si="90"/>
        <v>0</v>
      </c>
      <c r="T158" s="89">
        <f t="shared" si="91"/>
        <v>0</v>
      </c>
      <c r="U158" s="89">
        <f t="shared" si="92"/>
        <v>0</v>
      </c>
      <c r="V158" s="89">
        <f t="shared" si="93"/>
        <v>0</v>
      </c>
      <c r="W158" s="248">
        <f t="shared" si="83"/>
        <v>0</v>
      </c>
      <c r="X158" s="89">
        <f t="shared" si="87"/>
        <v>0</v>
      </c>
    </row>
    <row r="159" spans="1:24" s="145" customFormat="1" ht="60">
      <c r="A159" s="70" t="s">
        <v>253</v>
      </c>
      <c r="B159" s="71">
        <v>24110900</v>
      </c>
      <c r="C159" s="22">
        <v>126.9</v>
      </c>
      <c r="D159" s="25">
        <f t="shared" si="95"/>
        <v>467.9</v>
      </c>
      <c r="E159" s="25">
        <f t="shared" si="96"/>
        <v>468.7155240346729</v>
      </c>
      <c r="F159" s="22">
        <v>1.4</v>
      </c>
      <c r="G159" s="220">
        <f>ROUND(F159*$T$6,1)</f>
        <v>1.4</v>
      </c>
      <c r="H159" s="219">
        <f>ROUND(F159*$T$7+F159*$T$8,1)</f>
        <v>1.4</v>
      </c>
      <c r="I159" s="220">
        <v>6.3</v>
      </c>
      <c r="J159" s="220">
        <v>4.2</v>
      </c>
      <c r="K159" s="22">
        <v>594.8</v>
      </c>
      <c r="L159" s="3" t="e">
        <f>K159-#REF!</f>
        <v>#REF!</v>
      </c>
      <c r="M159" s="65">
        <f t="shared" si="98"/>
        <v>42485.71428571428</v>
      </c>
      <c r="N159" s="25">
        <f t="shared" si="99"/>
        <v>593.4</v>
      </c>
      <c r="O159" s="263">
        <f t="shared" si="100"/>
        <v>42485.71428571428</v>
      </c>
      <c r="P159" s="278">
        <f t="shared" si="101"/>
        <v>14161.90476190476</v>
      </c>
      <c r="Q159" s="263">
        <f t="shared" si="102"/>
        <v>593.4</v>
      </c>
      <c r="R159" s="219">
        <f t="shared" si="103"/>
        <v>590.5999999999999</v>
      </c>
      <c r="S159" s="88">
        <f t="shared" si="90"/>
        <v>0</v>
      </c>
      <c r="T159" s="89">
        <f t="shared" si="91"/>
        <v>0</v>
      </c>
      <c r="U159" s="89">
        <f t="shared" si="92"/>
        <v>0</v>
      </c>
      <c r="V159" s="89">
        <f t="shared" si="93"/>
        <v>0</v>
      </c>
      <c r="W159" s="248">
        <f t="shared" si="83"/>
        <v>0</v>
      </c>
      <c r="X159" s="89">
        <f t="shared" si="87"/>
        <v>2.0999999999999996</v>
      </c>
    </row>
    <row r="160" spans="1:24" s="150" customFormat="1" ht="31.5">
      <c r="A160" s="66" t="s">
        <v>254</v>
      </c>
      <c r="B160" s="67">
        <v>24170000</v>
      </c>
      <c r="C160" s="10">
        <v>166.9</v>
      </c>
      <c r="D160" s="6">
        <f t="shared" si="95"/>
        <v>-100</v>
      </c>
      <c r="E160" s="6">
        <f t="shared" si="96"/>
        <v>40.083882564409826</v>
      </c>
      <c r="F160" s="10">
        <f>1100+1421.1+35.5</f>
        <v>2556.6</v>
      </c>
      <c r="G160" s="209">
        <f>ROUND(F160*$T$6,1)</f>
        <v>2556.6</v>
      </c>
      <c r="H160" s="209">
        <f>ROUND(F160*$T$7+F160*$T$8,1)</f>
        <v>2556.6</v>
      </c>
      <c r="I160" s="209">
        <v>614</v>
      </c>
      <c r="J160" s="209">
        <v>518.5</v>
      </c>
      <c r="K160" s="10">
        <v>66.9</v>
      </c>
      <c r="L160" s="9" t="e">
        <f>K160-#REF!</f>
        <v>#REF!</v>
      </c>
      <c r="M160" s="62">
        <f t="shared" si="98"/>
        <v>2.616756629899085</v>
      </c>
      <c r="N160" s="6">
        <f t="shared" si="99"/>
        <v>-2489.7</v>
      </c>
      <c r="O160" s="203">
        <f t="shared" si="100"/>
        <v>2.616756629899085</v>
      </c>
      <c r="P160" s="210">
        <f t="shared" si="101"/>
        <v>12.902603664416587</v>
      </c>
      <c r="Q160" s="203">
        <f t="shared" si="102"/>
        <v>-2489.7</v>
      </c>
      <c r="R160" s="209">
        <f t="shared" si="103"/>
        <v>-451.6</v>
      </c>
      <c r="S160" s="88">
        <f t="shared" si="90"/>
        <v>0</v>
      </c>
      <c r="T160" s="89">
        <f t="shared" si="91"/>
        <v>0</v>
      </c>
      <c r="U160" s="89">
        <f t="shared" si="92"/>
        <v>0</v>
      </c>
      <c r="V160" s="89">
        <f t="shared" si="93"/>
        <v>0</v>
      </c>
      <c r="W160" s="248">
        <f t="shared" si="83"/>
        <v>0</v>
      </c>
      <c r="X160" s="89">
        <f t="shared" si="87"/>
        <v>95.5</v>
      </c>
    </row>
    <row r="161" spans="1:24" s="150" customFormat="1" ht="20.25">
      <c r="A161" s="72" t="s">
        <v>255</v>
      </c>
      <c r="B161" s="55">
        <v>25000000</v>
      </c>
      <c r="C161" s="10">
        <v>59779.7</v>
      </c>
      <c r="D161" s="6">
        <f t="shared" si="95"/>
        <v>6938</v>
      </c>
      <c r="E161" s="6">
        <f t="shared" si="96"/>
        <v>111.60594650023337</v>
      </c>
      <c r="F161" s="10">
        <v>58151.1</v>
      </c>
      <c r="G161" s="209">
        <f>ROUND(F161*$T$6,1)</f>
        <v>58151.1</v>
      </c>
      <c r="H161" s="209">
        <f>ROUND(F161*$T$7+F161*$T$8,1)</f>
        <v>58151.1</v>
      </c>
      <c r="I161" s="209">
        <f>G161</f>
        <v>58151.1</v>
      </c>
      <c r="J161" s="209">
        <f>H161</f>
        <v>58151.1</v>
      </c>
      <c r="K161" s="10">
        <v>66717.7</v>
      </c>
      <c r="L161" s="9" t="e">
        <f>K161-#REF!</f>
        <v>#REF!</v>
      </c>
      <c r="M161" s="62">
        <f t="shared" si="98"/>
        <v>114.73162158583415</v>
      </c>
      <c r="N161" s="6">
        <f t="shared" si="99"/>
        <v>8566.599999999999</v>
      </c>
      <c r="O161" s="203">
        <f t="shared" si="100"/>
        <v>114.73162158583415</v>
      </c>
      <c r="P161" s="210">
        <f t="shared" si="101"/>
        <v>114.73162158583415</v>
      </c>
      <c r="Q161" s="203">
        <f t="shared" si="102"/>
        <v>8566.599999999999</v>
      </c>
      <c r="R161" s="209">
        <f t="shared" si="103"/>
        <v>8566.599999999999</v>
      </c>
      <c r="S161" s="88">
        <f t="shared" si="90"/>
        <v>0</v>
      </c>
      <c r="T161" s="89">
        <f t="shared" si="91"/>
        <v>0</v>
      </c>
      <c r="U161" s="89">
        <f t="shared" si="92"/>
        <v>0</v>
      </c>
      <c r="V161" s="89">
        <f t="shared" si="93"/>
        <v>0</v>
      </c>
      <c r="W161" s="248">
        <f t="shared" si="83"/>
        <v>0</v>
      </c>
      <c r="X161" s="89">
        <f t="shared" si="87"/>
        <v>0</v>
      </c>
    </row>
    <row r="162" spans="1:24" s="150" customFormat="1" ht="20.25">
      <c r="A162" s="72" t="s">
        <v>256</v>
      </c>
      <c r="B162" s="55">
        <v>30000000</v>
      </c>
      <c r="C162" s="10">
        <f>C163+C165</f>
        <v>48924.7</v>
      </c>
      <c r="D162" s="6">
        <f t="shared" si="95"/>
        <v>8234.599999999999</v>
      </c>
      <c r="E162" s="6">
        <f t="shared" si="96"/>
        <v>116.83117116712008</v>
      </c>
      <c r="F162" s="10">
        <f aca="true" t="shared" si="108" ref="F162:L162">F163+F165</f>
        <v>3854.1</v>
      </c>
      <c r="G162" s="209">
        <f t="shared" si="108"/>
        <v>3854.1</v>
      </c>
      <c r="H162" s="209">
        <f t="shared" si="108"/>
        <v>3854.1</v>
      </c>
      <c r="I162" s="209">
        <f t="shared" si="108"/>
        <v>2460</v>
      </c>
      <c r="J162" s="209">
        <f>J163+J165</f>
        <v>2393.8</v>
      </c>
      <c r="K162" s="10">
        <f t="shared" si="108"/>
        <v>57159.299999999996</v>
      </c>
      <c r="L162" s="10" t="e">
        <f t="shared" si="108"/>
        <v>#REF!</v>
      </c>
      <c r="M162" s="10">
        <f t="shared" si="98"/>
        <v>1483.0777613450612</v>
      </c>
      <c r="N162" s="6">
        <f t="shared" si="99"/>
        <v>53305.2</v>
      </c>
      <c r="O162" s="203">
        <f t="shared" si="100"/>
        <v>1483.0777613450612</v>
      </c>
      <c r="P162" s="209">
        <f t="shared" si="101"/>
        <v>2387.8059988303116</v>
      </c>
      <c r="Q162" s="203">
        <f t="shared" si="102"/>
        <v>53305.2</v>
      </c>
      <c r="R162" s="209">
        <f t="shared" si="103"/>
        <v>54765.49999999999</v>
      </c>
      <c r="S162" s="88">
        <f t="shared" si="90"/>
        <v>0</v>
      </c>
      <c r="T162" s="89">
        <f t="shared" si="91"/>
        <v>0</v>
      </c>
      <c r="U162" s="89">
        <f t="shared" si="92"/>
        <v>0</v>
      </c>
      <c r="V162" s="89">
        <f t="shared" si="93"/>
        <v>0</v>
      </c>
      <c r="W162" s="248">
        <f t="shared" si="83"/>
        <v>0</v>
      </c>
      <c r="X162" s="89">
        <f t="shared" si="87"/>
        <v>66.19999999999982</v>
      </c>
    </row>
    <row r="163" spans="1:24" s="147" customFormat="1" ht="20.25">
      <c r="A163" s="48" t="s">
        <v>266</v>
      </c>
      <c r="B163" s="43">
        <v>31000000</v>
      </c>
      <c r="C163" s="10">
        <f>C164</f>
        <v>42827.2</v>
      </c>
      <c r="D163" s="6">
        <f t="shared" si="95"/>
        <v>8153.4000000000015</v>
      </c>
      <c r="E163" s="6">
        <f t="shared" si="96"/>
        <v>119.03790114693467</v>
      </c>
      <c r="F163" s="10">
        <f aca="true" t="shared" si="109" ref="F163:L163">F164</f>
        <v>2766.5</v>
      </c>
      <c r="G163" s="209">
        <f t="shared" si="109"/>
        <v>2766.5</v>
      </c>
      <c r="H163" s="209">
        <f t="shared" si="109"/>
        <v>2766.5</v>
      </c>
      <c r="I163" s="209">
        <f t="shared" si="109"/>
        <v>2460</v>
      </c>
      <c r="J163" s="209">
        <f t="shared" si="109"/>
        <v>2393.8</v>
      </c>
      <c r="K163" s="10">
        <f t="shared" si="109"/>
        <v>50980.6</v>
      </c>
      <c r="L163" s="10" t="e">
        <f t="shared" si="109"/>
        <v>#REF!</v>
      </c>
      <c r="M163" s="62">
        <f t="shared" si="98"/>
        <v>1842.783300198807</v>
      </c>
      <c r="N163" s="6">
        <f t="shared" si="99"/>
        <v>48214.1</v>
      </c>
      <c r="O163" s="203">
        <f t="shared" si="100"/>
        <v>1842.783300198807</v>
      </c>
      <c r="P163" s="210">
        <f t="shared" si="101"/>
        <v>2129.6933745509227</v>
      </c>
      <c r="Q163" s="203">
        <f t="shared" si="102"/>
        <v>48214.1</v>
      </c>
      <c r="R163" s="209">
        <f t="shared" si="103"/>
        <v>48586.799999999996</v>
      </c>
      <c r="S163" s="88">
        <f t="shared" si="90"/>
        <v>0</v>
      </c>
      <c r="T163" s="89">
        <f t="shared" si="91"/>
        <v>0</v>
      </c>
      <c r="U163" s="89">
        <f t="shared" si="92"/>
        <v>0</v>
      </c>
      <c r="V163" s="89">
        <f t="shared" si="93"/>
        <v>0</v>
      </c>
      <c r="W163" s="248">
        <f t="shared" si="83"/>
        <v>0</v>
      </c>
      <c r="X163" s="89">
        <f t="shared" si="87"/>
        <v>66.19999999999982</v>
      </c>
    </row>
    <row r="164" spans="1:24" s="91" customFormat="1" ht="30">
      <c r="A164" s="73" t="s">
        <v>257</v>
      </c>
      <c r="B164" s="27">
        <v>31030000</v>
      </c>
      <c r="C164" s="7">
        <v>42827.2</v>
      </c>
      <c r="D164" s="25">
        <f t="shared" si="95"/>
        <v>8153.4000000000015</v>
      </c>
      <c r="E164" s="25">
        <f t="shared" si="96"/>
        <v>119.03790114693467</v>
      </c>
      <c r="F164" s="7">
        <f>1000+1766.5</f>
        <v>2766.5</v>
      </c>
      <c r="G164" s="219">
        <f>ROUND(F164*$T$6,1)</f>
        <v>2766.5</v>
      </c>
      <c r="H164" s="219">
        <f>ROUND(F164*$T$7+F164*$T$8,1)</f>
        <v>2766.5</v>
      </c>
      <c r="I164" s="219">
        <v>2460</v>
      </c>
      <c r="J164" s="219">
        <v>2393.8</v>
      </c>
      <c r="K164" s="7">
        <v>50980.6</v>
      </c>
      <c r="L164" s="3" t="e">
        <f>K164-#REF!</f>
        <v>#REF!</v>
      </c>
      <c r="M164" s="63">
        <f t="shared" si="98"/>
        <v>1842.783300198807</v>
      </c>
      <c r="N164" s="25">
        <f t="shared" si="99"/>
        <v>48214.1</v>
      </c>
      <c r="O164" s="263">
        <f t="shared" si="100"/>
        <v>1842.783300198807</v>
      </c>
      <c r="P164" s="277">
        <f t="shared" si="101"/>
        <v>2129.6933745509227</v>
      </c>
      <c r="Q164" s="263">
        <f t="shared" si="102"/>
        <v>48214.1</v>
      </c>
      <c r="R164" s="219">
        <f t="shared" si="103"/>
        <v>48586.799999999996</v>
      </c>
      <c r="S164" s="88">
        <f t="shared" si="90"/>
        <v>0</v>
      </c>
      <c r="T164" s="89">
        <f t="shared" si="91"/>
        <v>0</v>
      </c>
      <c r="U164" s="89">
        <f t="shared" si="92"/>
        <v>0</v>
      </c>
      <c r="V164" s="89">
        <f t="shared" si="93"/>
        <v>0</v>
      </c>
      <c r="W164" s="248">
        <f t="shared" si="83"/>
        <v>0</v>
      </c>
      <c r="X164" s="89">
        <f t="shared" si="87"/>
        <v>66.19999999999982</v>
      </c>
    </row>
    <row r="165" spans="1:24" s="150" customFormat="1" ht="20.25">
      <c r="A165" s="48" t="s">
        <v>258</v>
      </c>
      <c r="B165" s="55">
        <v>33000000</v>
      </c>
      <c r="C165" s="10">
        <f>C166</f>
        <v>6097.5</v>
      </c>
      <c r="D165" s="6">
        <f t="shared" si="95"/>
        <v>81.19999999999982</v>
      </c>
      <c r="E165" s="6">
        <f t="shared" si="96"/>
        <v>101.33169331693317</v>
      </c>
      <c r="F165" s="10">
        <f aca="true" t="shared" si="110" ref="F165:L165">F166</f>
        <v>1087.6</v>
      </c>
      <c r="G165" s="209">
        <f t="shared" si="110"/>
        <v>1087.6</v>
      </c>
      <c r="H165" s="209">
        <f t="shared" si="110"/>
        <v>1087.6</v>
      </c>
      <c r="I165" s="209">
        <f t="shared" si="110"/>
        <v>0</v>
      </c>
      <c r="J165" s="209">
        <f t="shared" si="110"/>
        <v>0</v>
      </c>
      <c r="K165" s="10">
        <f t="shared" si="110"/>
        <v>6178.7</v>
      </c>
      <c r="L165" s="10" t="e">
        <f t="shared" si="110"/>
        <v>#REF!</v>
      </c>
      <c r="M165" s="62">
        <f t="shared" si="98"/>
        <v>568.1040823832292</v>
      </c>
      <c r="N165" s="6">
        <f t="shared" si="99"/>
        <v>5091.1</v>
      </c>
      <c r="O165" s="203">
        <f t="shared" si="100"/>
        <v>568.1040823832292</v>
      </c>
      <c r="P165" s="210" t="e">
        <f t="shared" si="101"/>
        <v>#DIV/0!</v>
      </c>
      <c r="Q165" s="203">
        <f t="shared" si="102"/>
        <v>5091.1</v>
      </c>
      <c r="R165" s="209">
        <f t="shared" si="103"/>
        <v>6178.7</v>
      </c>
      <c r="S165" s="88">
        <f t="shared" si="90"/>
        <v>0</v>
      </c>
      <c r="T165" s="89">
        <f t="shared" si="91"/>
        <v>0</v>
      </c>
      <c r="U165" s="89">
        <f t="shared" si="92"/>
        <v>0</v>
      </c>
      <c r="V165" s="89">
        <f t="shared" si="93"/>
        <v>0</v>
      </c>
      <c r="W165" s="248">
        <f t="shared" si="83"/>
        <v>0</v>
      </c>
      <c r="X165" s="89">
        <f t="shared" si="87"/>
        <v>0</v>
      </c>
    </row>
    <row r="166" spans="1:24" s="92" customFormat="1" ht="20.25">
      <c r="A166" s="29" t="s">
        <v>259</v>
      </c>
      <c r="B166" s="27">
        <v>33010000</v>
      </c>
      <c r="C166" s="7">
        <f>C167+C168</f>
        <v>6097.5</v>
      </c>
      <c r="D166" s="25">
        <f t="shared" si="95"/>
        <v>81.19999999999982</v>
      </c>
      <c r="E166" s="25">
        <f t="shared" si="96"/>
        <v>101.33169331693317</v>
      </c>
      <c r="F166" s="7">
        <f aca="true" t="shared" si="111" ref="F166:L166">F167+F168</f>
        <v>1087.6</v>
      </c>
      <c r="G166" s="219">
        <f t="shared" si="111"/>
        <v>1087.6</v>
      </c>
      <c r="H166" s="219">
        <f t="shared" si="111"/>
        <v>1087.6</v>
      </c>
      <c r="I166" s="219">
        <f t="shared" si="111"/>
        <v>0</v>
      </c>
      <c r="J166" s="219">
        <f t="shared" si="111"/>
        <v>0</v>
      </c>
      <c r="K166" s="7">
        <f t="shared" si="111"/>
        <v>6178.7</v>
      </c>
      <c r="L166" s="7" t="e">
        <f t="shared" si="111"/>
        <v>#REF!</v>
      </c>
      <c r="M166" s="63">
        <f t="shared" si="98"/>
        <v>568.1040823832292</v>
      </c>
      <c r="N166" s="25">
        <f t="shared" si="99"/>
        <v>5091.1</v>
      </c>
      <c r="O166" s="263">
        <f t="shared" si="100"/>
        <v>568.1040823832292</v>
      </c>
      <c r="P166" s="277" t="e">
        <f t="shared" si="101"/>
        <v>#DIV/0!</v>
      </c>
      <c r="Q166" s="263">
        <f t="shared" si="102"/>
        <v>5091.1</v>
      </c>
      <c r="R166" s="219">
        <f t="shared" si="103"/>
        <v>6178.7</v>
      </c>
      <c r="S166" s="88">
        <f t="shared" si="90"/>
        <v>0</v>
      </c>
      <c r="T166" s="89">
        <f t="shared" si="91"/>
        <v>0</v>
      </c>
      <c r="U166" s="89">
        <f t="shared" si="92"/>
        <v>0</v>
      </c>
      <c r="V166" s="89">
        <f t="shared" si="93"/>
        <v>0</v>
      </c>
      <c r="W166" s="248">
        <f t="shared" si="83"/>
        <v>0</v>
      </c>
      <c r="X166" s="89">
        <f t="shared" si="87"/>
        <v>0</v>
      </c>
    </row>
    <row r="167" spans="1:24" s="145" customFormat="1" ht="60">
      <c r="A167" s="74" t="s">
        <v>108</v>
      </c>
      <c r="B167" s="33">
        <v>33010100</v>
      </c>
      <c r="C167" s="22">
        <v>6097.5</v>
      </c>
      <c r="D167" s="36">
        <f t="shared" si="95"/>
        <v>81.19999999999982</v>
      </c>
      <c r="E167" s="36">
        <f t="shared" si="96"/>
        <v>101.33169331693317</v>
      </c>
      <c r="F167" s="22">
        <v>1087.6</v>
      </c>
      <c r="G167" s="220">
        <f>ROUND(F167*$T$6,1)</f>
        <v>1087.6</v>
      </c>
      <c r="H167" s="220">
        <f>ROUND(F167*$T$7+F167*$T$8,1)</f>
        <v>1087.6</v>
      </c>
      <c r="I167" s="220">
        <v>0</v>
      </c>
      <c r="J167" s="220">
        <v>0</v>
      </c>
      <c r="K167" s="22">
        <v>6178.7</v>
      </c>
      <c r="L167" s="3" t="e">
        <f>K167-#REF!</f>
        <v>#REF!</v>
      </c>
      <c r="M167" s="65">
        <f t="shared" si="98"/>
        <v>568.1040823832292</v>
      </c>
      <c r="N167" s="36">
        <f t="shared" si="99"/>
        <v>5091.1</v>
      </c>
      <c r="O167" s="266">
        <f t="shared" si="100"/>
        <v>568.1040823832292</v>
      </c>
      <c r="P167" s="277" t="e">
        <f t="shared" si="101"/>
        <v>#DIV/0!</v>
      </c>
      <c r="Q167" s="266">
        <f t="shared" si="102"/>
        <v>5091.1</v>
      </c>
      <c r="R167" s="220">
        <f t="shared" si="103"/>
        <v>6178.7</v>
      </c>
      <c r="S167" s="88">
        <f t="shared" si="90"/>
        <v>0</v>
      </c>
      <c r="T167" s="89">
        <f t="shared" si="91"/>
        <v>0</v>
      </c>
      <c r="U167" s="89">
        <f t="shared" si="92"/>
        <v>0</v>
      </c>
      <c r="V167" s="89">
        <f t="shared" si="93"/>
        <v>0</v>
      </c>
      <c r="W167" s="248">
        <f t="shared" si="83"/>
        <v>0</v>
      </c>
      <c r="X167" s="89">
        <f t="shared" si="87"/>
        <v>0</v>
      </c>
    </row>
    <row r="168" spans="1:24" s="145" customFormat="1" ht="60" hidden="1">
      <c r="A168" s="74" t="s">
        <v>109</v>
      </c>
      <c r="B168" s="33">
        <v>33010200</v>
      </c>
      <c r="C168" s="22"/>
      <c r="D168" s="6">
        <f t="shared" si="95"/>
        <v>0</v>
      </c>
      <c r="E168" s="50" t="e">
        <f t="shared" si="96"/>
        <v>#DIV/0!</v>
      </c>
      <c r="F168" s="22"/>
      <c r="G168" s="220">
        <f>F168/12*11</f>
        <v>0</v>
      </c>
      <c r="H168" s="220">
        <f>F168/12*11+F168/12*14/22</f>
        <v>0</v>
      </c>
      <c r="I168" s="220"/>
      <c r="J168" s="219"/>
      <c r="K168" s="22"/>
      <c r="L168" s="3"/>
      <c r="M168" s="60" t="e">
        <f t="shared" si="98"/>
        <v>#DIV/0!</v>
      </c>
      <c r="N168" s="25">
        <f t="shared" si="99"/>
        <v>0</v>
      </c>
      <c r="O168" s="264" t="e">
        <f t="shared" si="100"/>
        <v>#DIV/0!</v>
      </c>
      <c r="P168" s="277" t="e">
        <f t="shared" si="101"/>
        <v>#DIV/0!</v>
      </c>
      <c r="Q168" s="263">
        <f t="shared" si="102"/>
        <v>0</v>
      </c>
      <c r="R168" s="219">
        <f t="shared" si="103"/>
        <v>0</v>
      </c>
      <c r="S168" s="88">
        <f t="shared" si="90"/>
        <v>0</v>
      </c>
      <c r="T168" s="89">
        <f t="shared" si="91"/>
        <v>0</v>
      </c>
      <c r="U168" s="89" t="e">
        <f t="shared" si="92"/>
        <v>#DIV/0!</v>
      </c>
      <c r="V168" s="89" t="e">
        <f t="shared" si="93"/>
        <v>#DIV/0!</v>
      </c>
      <c r="W168" s="248">
        <f t="shared" si="83"/>
        <v>0</v>
      </c>
      <c r="X168" s="89">
        <f t="shared" si="87"/>
        <v>0</v>
      </c>
    </row>
    <row r="169" spans="1:24" s="150" customFormat="1" ht="20.25">
      <c r="A169" s="61" t="s">
        <v>98</v>
      </c>
      <c r="B169" s="55">
        <v>40000000</v>
      </c>
      <c r="C169" s="10">
        <f>C170</f>
        <v>658.4</v>
      </c>
      <c r="D169" s="6">
        <f t="shared" si="95"/>
        <v>23551</v>
      </c>
      <c r="E169" s="6">
        <f t="shared" si="96"/>
        <v>3677.004860267315</v>
      </c>
      <c r="F169" s="10">
        <f aca="true" t="shared" si="112" ref="F169:L170">F170</f>
        <v>25933.800000000003</v>
      </c>
      <c r="G169" s="209">
        <f t="shared" si="112"/>
        <v>25933.8</v>
      </c>
      <c r="H169" s="209">
        <f t="shared" si="112"/>
        <v>25933.8</v>
      </c>
      <c r="I169" s="209">
        <f t="shared" si="112"/>
        <v>25933.8</v>
      </c>
      <c r="J169" s="209">
        <f t="shared" si="112"/>
        <v>25923.3</v>
      </c>
      <c r="K169" s="10">
        <f t="shared" si="112"/>
        <v>24209.4</v>
      </c>
      <c r="L169" s="10" t="e">
        <f t="shared" si="112"/>
        <v>#REF!</v>
      </c>
      <c r="M169" s="62">
        <f t="shared" si="98"/>
        <v>93.35076232561367</v>
      </c>
      <c r="N169" s="6">
        <f t="shared" si="99"/>
        <v>-1724.4000000000015</v>
      </c>
      <c r="O169" s="203">
        <f t="shared" si="100"/>
        <v>93.35076232561369</v>
      </c>
      <c r="P169" s="210">
        <f t="shared" si="101"/>
        <v>93.3885732140584</v>
      </c>
      <c r="Q169" s="203">
        <f t="shared" si="102"/>
        <v>-1724.3999999999978</v>
      </c>
      <c r="R169" s="209">
        <f t="shared" si="103"/>
        <v>-1713.8999999999978</v>
      </c>
      <c r="S169" s="88">
        <f t="shared" si="90"/>
        <v>0</v>
      </c>
      <c r="T169" s="89">
        <f t="shared" si="91"/>
        <v>0</v>
      </c>
      <c r="U169" s="89">
        <f t="shared" si="92"/>
        <v>0</v>
      </c>
      <c r="V169" s="89">
        <f t="shared" si="93"/>
        <v>0</v>
      </c>
      <c r="W169" s="248">
        <f t="shared" si="83"/>
        <v>0</v>
      </c>
      <c r="X169" s="89">
        <f t="shared" si="87"/>
        <v>10.5</v>
      </c>
    </row>
    <row r="170" spans="1:24" s="150" customFormat="1" ht="20.25">
      <c r="A170" s="48" t="s">
        <v>99</v>
      </c>
      <c r="B170" s="55">
        <v>41000000</v>
      </c>
      <c r="C170" s="10">
        <f>C171</f>
        <v>658.4</v>
      </c>
      <c r="D170" s="6">
        <f t="shared" si="95"/>
        <v>23551</v>
      </c>
      <c r="E170" s="6">
        <f t="shared" si="96"/>
        <v>3677.004860267315</v>
      </c>
      <c r="F170" s="10">
        <f>F171</f>
        <v>25933.800000000003</v>
      </c>
      <c r="G170" s="209">
        <f t="shared" si="112"/>
        <v>25933.8</v>
      </c>
      <c r="H170" s="209">
        <f t="shared" si="112"/>
        <v>25933.8</v>
      </c>
      <c r="I170" s="209">
        <f t="shared" si="112"/>
        <v>25933.8</v>
      </c>
      <c r="J170" s="209">
        <f t="shared" si="112"/>
        <v>25923.3</v>
      </c>
      <c r="K170" s="10">
        <f t="shared" si="112"/>
        <v>24209.4</v>
      </c>
      <c r="L170" s="10" t="e">
        <f t="shared" si="112"/>
        <v>#REF!</v>
      </c>
      <c r="M170" s="62">
        <f t="shared" si="98"/>
        <v>93.35076232561367</v>
      </c>
      <c r="N170" s="6">
        <f t="shared" si="99"/>
        <v>-1724.4000000000015</v>
      </c>
      <c r="O170" s="203">
        <f t="shared" si="100"/>
        <v>93.35076232561369</v>
      </c>
      <c r="P170" s="210">
        <f t="shared" si="101"/>
        <v>93.3885732140584</v>
      </c>
      <c r="Q170" s="203">
        <f t="shared" si="102"/>
        <v>-1724.3999999999978</v>
      </c>
      <c r="R170" s="209">
        <f t="shared" si="103"/>
        <v>-1713.8999999999978</v>
      </c>
      <c r="S170" s="88">
        <f t="shared" si="90"/>
        <v>0</v>
      </c>
      <c r="T170" s="89">
        <f t="shared" si="91"/>
        <v>0</v>
      </c>
      <c r="U170" s="89">
        <f t="shared" si="92"/>
        <v>0</v>
      </c>
      <c r="V170" s="89">
        <f t="shared" si="93"/>
        <v>0</v>
      </c>
      <c r="W170" s="248">
        <f t="shared" si="83"/>
        <v>0</v>
      </c>
      <c r="X170" s="89">
        <f t="shared" si="87"/>
        <v>10.5</v>
      </c>
    </row>
    <row r="171" spans="1:24" s="150" customFormat="1" ht="20.25">
      <c r="A171" s="61" t="s">
        <v>226</v>
      </c>
      <c r="B171" s="55">
        <v>41030000</v>
      </c>
      <c r="C171" s="10">
        <f>C172+C176+C175</f>
        <v>658.4</v>
      </c>
      <c r="D171" s="6">
        <f t="shared" si="95"/>
        <v>23551</v>
      </c>
      <c r="E171" s="6">
        <f t="shared" si="96"/>
        <v>3677.004860267315</v>
      </c>
      <c r="F171" s="10">
        <f aca="true" t="shared" si="113" ref="F171:L171">F172+F176+F175</f>
        <v>25933.800000000003</v>
      </c>
      <c r="G171" s="209">
        <f t="shared" si="113"/>
        <v>25933.8</v>
      </c>
      <c r="H171" s="209">
        <f t="shared" si="113"/>
        <v>25933.8</v>
      </c>
      <c r="I171" s="209">
        <f t="shared" si="113"/>
        <v>25933.8</v>
      </c>
      <c r="J171" s="209">
        <f t="shared" si="113"/>
        <v>25923.3</v>
      </c>
      <c r="K171" s="10">
        <f t="shared" si="113"/>
        <v>24209.4</v>
      </c>
      <c r="L171" s="10" t="e">
        <f t="shared" si="113"/>
        <v>#REF!</v>
      </c>
      <c r="M171" s="62">
        <f t="shared" si="98"/>
        <v>93.35076232561367</v>
      </c>
      <c r="N171" s="6">
        <f t="shared" si="99"/>
        <v>-1724.4000000000015</v>
      </c>
      <c r="O171" s="203">
        <f t="shared" si="100"/>
        <v>93.35076232561369</v>
      </c>
      <c r="P171" s="210">
        <f t="shared" si="101"/>
        <v>93.3885732140584</v>
      </c>
      <c r="Q171" s="203">
        <f t="shared" si="102"/>
        <v>-1724.3999999999978</v>
      </c>
      <c r="R171" s="209">
        <f t="shared" si="103"/>
        <v>-1713.8999999999978</v>
      </c>
      <c r="S171" s="88">
        <f t="shared" si="90"/>
        <v>0</v>
      </c>
      <c r="T171" s="89">
        <f t="shared" si="91"/>
        <v>0</v>
      </c>
      <c r="U171" s="89">
        <f t="shared" si="92"/>
        <v>0</v>
      </c>
      <c r="V171" s="89">
        <f t="shared" si="93"/>
        <v>0</v>
      </c>
      <c r="W171" s="248">
        <f t="shared" si="83"/>
        <v>0</v>
      </c>
      <c r="X171" s="89">
        <f t="shared" si="87"/>
        <v>10.5</v>
      </c>
    </row>
    <row r="172" spans="1:24" s="92" customFormat="1" ht="20.25">
      <c r="A172" s="29" t="s">
        <v>121</v>
      </c>
      <c r="B172" s="30">
        <v>41035000</v>
      </c>
      <c r="C172" s="7">
        <f>+C173+C174</f>
        <v>658.4</v>
      </c>
      <c r="D172" s="25">
        <f t="shared" si="95"/>
        <v>-445.4</v>
      </c>
      <c r="E172" s="25">
        <f t="shared" si="96"/>
        <v>32.35115431348724</v>
      </c>
      <c r="F172" s="7">
        <f aca="true" t="shared" si="114" ref="F172:L172">F173+F174</f>
        <v>305.8</v>
      </c>
      <c r="G172" s="219">
        <f t="shared" si="114"/>
        <v>305.8</v>
      </c>
      <c r="H172" s="219">
        <f t="shared" si="114"/>
        <v>305.8</v>
      </c>
      <c r="I172" s="219">
        <f t="shared" si="114"/>
        <v>305.8</v>
      </c>
      <c r="J172" s="219">
        <f t="shared" si="114"/>
        <v>295.3</v>
      </c>
      <c r="K172" s="7">
        <f t="shared" si="114"/>
        <v>213</v>
      </c>
      <c r="L172" s="7" t="e">
        <f t="shared" si="114"/>
        <v>#REF!</v>
      </c>
      <c r="M172" s="63">
        <f t="shared" si="98"/>
        <v>69.65336821451929</v>
      </c>
      <c r="N172" s="25">
        <f t="shared" si="99"/>
        <v>-92.80000000000001</v>
      </c>
      <c r="O172" s="263">
        <f t="shared" si="100"/>
        <v>69.65336821451929</v>
      </c>
      <c r="P172" s="277">
        <f t="shared" si="101"/>
        <v>72.13003725025398</v>
      </c>
      <c r="Q172" s="263">
        <f t="shared" si="102"/>
        <v>-92.80000000000001</v>
      </c>
      <c r="R172" s="219">
        <f t="shared" si="103"/>
        <v>-82.30000000000001</v>
      </c>
      <c r="S172" s="88">
        <f t="shared" si="90"/>
        <v>0</v>
      </c>
      <c r="T172" s="89">
        <f t="shared" si="91"/>
        <v>0</v>
      </c>
      <c r="U172" s="89">
        <f t="shared" si="92"/>
        <v>0</v>
      </c>
      <c r="V172" s="89">
        <f t="shared" si="93"/>
        <v>0</v>
      </c>
      <c r="W172" s="248">
        <f t="shared" si="83"/>
        <v>0</v>
      </c>
      <c r="X172" s="89">
        <f t="shared" si="87"/>
        <v>10.5</v>
      </c>
    </row>
    <row r="173" spans="1:24" s="92" customFormat="1" ht="20.25">
      <c r="A173" s="75" t="s">
        <v>302</v>
      </c>
      <c r="B173" s="30"/>
      <c r="C173" s="22">
        <v>500</v>
      </c>
      <c r="D173" s="25">
        <f t="shared" si="95"/>
        <v>-500</v>
      </c>
      <c r="E173" s="241">
        <f t="shared" si="96"/>
        <v>0</v>
      </c>
      <c r="F173" s="22"/>
      <c r="G173" s="219">
        <f>ROUND(F173*$T$6,1)</f>
        <v>0</v>
      </c>
      <c r="H173" s="219">
        <f>ROUND((F173*$T$7+F173*$T$8),1)</f>
        <v>0</v>
      </c>
      <c r="I173" s="220"/>
      <c r="J173" s="220"/>
      <c r="K173" s="22"/>
      <c r="L173" s="3">
        <f>K173</f>
        <v>0</v>
      </c>
      <c r="M173" s="226" t="e">
        <f>K173/F173*100</f>
        <v>#DIV/0!</v>
      </c>
      <c r="N173" s="25">
        <f t="shared" si="99"/>
        <v>0</v>
      </c>
      <c r="O173" s="279" t="e">
        <f t="shared" si="100"/>
        <v>#DIV/0!</v>
      </c>
      <c r="P173" s="280" t="e">
        <f t="shared" si="101"/>
        <v>#DIV/0!</v>
      </c>
      <c r="Q173" s="279">
        <f t="shared" si="102"/>
        <v>0</v>
      </c>
      <c r="R173" s="281">
        <f t="shared" si="103"/>
        <v>0</v>
      </c>
      <c r="S173" s="88">
        <f t="shared" si="90"/>
        <v>0</v>
      </c>
      <c r="T173" s="89">
        <f t="shared" si="91"/>
        <v>0</v>
      </c>
      <c r="U173" s="89" t="e">
        <f t="shared" si="92"/>
        <v>#DIV/0!</v>
      </c>
      <c r="V173" s="89" t="e">
        <f t="shared" si="93"/>
        <v>#DIV/0!</v>
      </c>
      <c r="W173" s="248">
        <f t="shared" si="83"/>
        <v>0</v>
      </c>
      <c r="X173" s="89">
        <f t="shared" si="87"/>
        <v>0</v>
      </c>
    </row>
    <row r="174" spans="1:24" s="92" customFormat="1" ht="30">
      <c r="A174" s="78" t="s">
        <v>155</v>
      </c>
      <c r="B174" s="77"/>
      <c r="C174" s="7">
        <f>158.4</f>
        <v>158.4</v>
      </c>
      <c r="D174" s="36">
        <f t="shared" si="95"/>
        <v>54.599999999999994</v>
      </c>
      <c r="E174" s="36">
        <f t="shared" si="96"/>
        <v>134.46969696969697</v>
      </c>
      <c r="F174" s="22">
        <f>225.2+2+31.5+12.1+35</f>
        <v>305.8</v>
      </c>
      <c r="G174" s="220">
        <f>ROUND(F174*$T$6,1)</f>
        <v>305.8</v>
      </c>
      <c r="H174" s="220">
        <f>ROUND(F174*$T$7+F174*$T$8,1)</f>
        <v>305.8</v>
      </c>
      <c r="I174" s="220">
        <v>305.8</v>
      </c>
      <c r="J174" s="220">
        <v>295.3</v>
      </c>
      <c r="K174" s="22">
        <v>213</v>
      </c>
      <c r="L174" s="3" t="e">
        <f>K174-#REF!</f>
        <v>#REF!</v>
      </c>
      <c r="M174" s="65">
        <f t="shared" si="98"/>
        <v>69.65336821451929</v>
      </c>
      <c r="N174" s="36">
        <f t="shared" si="99"/>
        <v>-92.80000000000001</v>
      </c>
      <c r="O174" s="266">
        <f t="shared" si="100"/>
        <v>69.65336821451929</v>
      </c>
      <c r="P174" s="278">
        <f t="shared" si="101"/>
        <v>72.13003725025398</v>
      </c>
      <c r="Q174" s="266">
        <f t="shared" si="102"/>
        <v>-92.80000000000001</v>
      </c>
      <c r="R174" s="220">
        <f t="shared" si="103"/>
        <v>-82.30000000000001</v>
      </c>
      <c r="S174" s="88">
        <f t="shared" si="90"/>
        <v>0</v>
      </c>
      <c r="T174" s="89">
        <f t="shared" si="91"/>
        <v>0</v>
      </c>
      <c r="U174" s="89">
        <f t="shared" si="92"/>
        <v>0</v>
      </c>
      <c r="V174" s="89">
        <f t="shared" si="93"/>
        <v>0</v>
      </c>
      <c r="W174" s="248">
        <f t="shared" si="83"/>
        <v>0</v>
      </c>
      <c r="X174" s="89">
        <f t="shared" si="87"/>
        <v>10.5</v>
      </c>
    </row>
    <row r="175" spans="1:24" s="92" customFormat="1" ht="30">
      <c r="A175" s="29" t="s">
        <v>157</v>
      </c>
      <c r="B175" s="30">
        <v>410345000</v>
      </c>
      <c r="C175" s="7"/>
      <c r="D175" s="25">
        <f>K175-C175</f>
        <v>23996.4</v>
      </c>
      <c r="E175" s="246" t="e">
        <f>K175/C175*100</f>
        <v>#DIV/0!</v>
      </c>
      <c r="F175" s="7">
        <v>19050</v>
      </c>
      <c r="G175" s="219">
        <f>ROUND(F175*$T$6,1)</f>
        <v>19050</v>
      </c>
      <c r="H175" s="219">
        <f>ROUND(F175*$T$7+F175*$T$8,1)</f>
        <v>19050</v>
      </c>
      <c r="I175" s="219">
        <v>19050</v>
      </c>
      <c r="J175" s="219">
        <v>19050</v>
      </c>
      <c r="K175" s="7">
        <v>23996.4</v>
      </c>
      <c r="L175" s="3" t="e">
        <f>K175-#REF!</f>
        <v>#REF!</v>
      </c>
      <c r="M175" s="63">
        <f>K175/F175*100</f>
        <v>125.96535433070868</v>
      </c>
      <c r="N175" s="25">
        <f t="shared" si="99"/>
        <v>4946.4000000000015</v>
      </c>
      <c r="O175" s="263">
        <f t="shared" si="100"/>
        <v>125.96535433070868</v>
      </c>
      <c r="P175" s="277">
        <f t="shared" si="101"/>
        <v>125.96535433070868</v>
      </c>
      <c r="Q175" s="263">
        <f t="shared" si="102"/>
        <v>4946.4000000000015</v>
      </c>
      <c r="R175" s="219">
        <f t="shared" si="103"/>
        <v>4946.4000000000015</v>
      </c>
      <c r="S175" s="88">
        <f t="shared" si="90"/>
        <v>0</v>
      </c>
      <c r="T175" s="89">
        <f t="shared" si="91"/>
        <v>0</v>
      </c>
      <c r="U175" s="89">
        <f t="shared" si="92"/>
        <v>0</v>
      </c>
      <c r="V175" s="89">
        <f t="shared" si="93"/>
        <v>0</v>
      </c>
      <c r="W175" s="248">
        <f t="shared" si="83"/>
        <v>0</v>
      </c>
      <c r="X175" s="89">
        <f t="shared" si="87"/>
        <v>0</v>
      </c>
    </row>
    <row r="176" spans="1:24" s="92" customFormat="1" ht="165">
      <c r="A176" s="39" t="s">
        <v>162</v>
      </c>
      <c r="B176" s="42">
        <v>41036600</v>
      </c>
      <c r="C176" s="7"/>
      <c r="D176" s="25">
        <f t="shared" si="95"/>
        <v>0</v>
      </c>
      <c r="E176" s="14" t="e">
        <f t="shared" si="96"/>
        <v>#DIV/0!</v>
      </c>
      <c r="F176" s="7">
        <f>25027.4+1097.9+214.7+238-20000</f>
        <v>6578.000000000004</v>
      </c>
      <c r="G176" s="219">
        <f>ROUND(F176*$T$6,1)</f>
        <v>6578</v>
      </c>
      <c r="H176" s="219">
        <f>ROUND(F176*$T$7+F176*$T$8,1)</f>
        <v>6578</v>
      </c>
      <c r="I176" s="219">
        <v>6578</v>
      </c>
      <c r="J176" s="219">
        <v>6578</v>
      </c>
      <c r="K176" s="7"/>
      <c r="L176" s="3" t="e">
        <f>K176-#REF!</f>
        <v>#REF!</v>
      </c>
      <c r="M176" s="52">
        <f t="shared" si="98"/>
        <v>0</v>
      </c>
      <c r="N176" s="25">
        <f t="shared" si="99"/>
        <v>-6578.000000000004</v>
      </c>
      <c r="O176" s="264">
        <f t="shared" si="100"/>
        <v>0</v>
      </c>
      <c r="P176" s="273">
        <f t="shared" si="101"/>
        <v>0</v>
      </c>
      <c r="Q176" s="263">
        <f t="shared" si="102"/>
        <v>-6578</v>
      </c>
      <c r="R176" s="219">
        <f t="shared" si="103"/>
        <v>-6578</v>
      </c>
      <c r="S176" s="88">
        <f t="shared" si="90"/>
        <v>0</v>
      </c>
      <c r="T176" s="89">
        <f t="shared" si="91"/>
        <v>0</v>
      </c>
      <c r="U176" s="89">
        <f t="shared" si="92"/>
        <v>0</v>
      </c>
      <c r="V176" s="89">
        <f t="shared" si="93"/>
        <v>0</v>
      </c>
      <c r="W176" s="248">
        <f t="shared" si="83"/>
        <v>0</v>
      </c>
      <c r="X176" s="89">
        <f t="shared" si="87"/>
        <v>0</v>
      </c>
    </row>
    <row r="177" spans="1:24" s="150" customFormat="1" ht="20.25">
      <c r="A177" s="61" t="s">
        <v>260</v>
      </c>
      <c r="B177" s="55">
        <v>50000000</v>
      </c>
      <c r="C177" s="10">
        <f>SUM(C178:C178)</f>
        <v>13</v>
      </c>
      <c r="D177" s="6">
        <f t="shared" si="95"/>
        <v>5.800000000000001</v>
      </c>
      <c r="E177" s="6">
        <f t="shared" si="96"/>
        <v>144.6153846153846</v>
      </c>
      <c r="F177" s="10">
        <f aca="true" t="shared" si="115" ref="F177:L177">SUM(F178:F178)</f>
        <v>5361.4</v>
      </c>
      <c r="G177" s="209">
        <f t="shared" si="115"/>
        <v>5361.4</v>
      </c>
      <c r="H177" s="209">
        <f t="shared" si="115"/>
        <v>5361.299999999999</v>
      </c>
      <c r="I177" s="209">
        <f t="shared" si="115"/>
        <v>905.7</v>
      </c>
      <c r="J177" s="209">
        <f t="shared" si="115"/>
        <v>803.9</v>
      </c>
      <c r="K177" s="10">
        <f t="shared" si="115"/>
        <v>18.8</v>
      </c>
      <c r="L177" s="10" t="e">
        <f t="shared" si="115"/>
        <v>#REF!</v>
      </c>
      <c r="M177" s="10">
        <f t="shared" si="98"/>
        <v>0.3506546797478271</v>
      </c>
      <c r="N177" s="6">
        <f t="shared" si="99"/>
        <v>-5342.599999999999</v>
      </c>
      <c r="O177" s="203">
        <f t="shared" si="100"/>
        <v>0.3506612202264377</v>
      </c>
      <c r="P177" s="209">
        <f t="shared" si="101"/>
        <v>2.338599328274661</v>
      </c>
      <c r="Q177" s="203">
        <f t="shared" si="102"/>
        <v>-5342.499999999999</v>
      </c>
      <c r="R177" s="209">
        <f t="shared" si="103"/>
        <v>-785.1</v>
      </c>
      <c r="S177" s="88">
        <f t="shared" si="90"/>
        <v>0</v>
      </c>
      <c r="T177" s="89">
        <f t="shared" si="91"/>
        <v>0</v>
      </c>
      <c r="U177" s="89">
        <f t="shared" si="92"/>
        <v>0</v>
      </c>
      <c r="V177" s="89">
        <f t="shared" si="93"/>
        <v>0</v>
      </c>
      <c r="W177" s="248">
        <f aca="true" t="shared" si="116" ref="W177:W183">G177-H177</f>
        <v>0.1000000000003638</v>
      </c>
      <c r="X177" s="89">
        <f t="shared" si="87"/>
        <v>101.80000000000007</v>
      </c>
    </row>
    <row r="178" spans="1:24" s="91" customFormat="1" ht="45">
      <c r="A178" s="26" t="s">
        <v>308</v>
      </c>
      <c r="B178" s="27">
        <v>50110000</v>
      </c>
      <c r="C178" s="7">
        <v>13</v>
      </c>
      <c r="D178" s="25">
        <f t="shared" si="95"/>
        <v>5.800000000000001</v>
      </c>
      <c r="E178" s="25">
        <f t="shared" si="96"/>
        <v>144.6153846153846</v>
      </c>
      <c r="F178" s="7">
        <v>5361.4</v>
      </c>
      <c r="G178" s="219">
        <f>ROUND(F178*$T$6,1)</f>
        <v>5361.4</v>
      </c>
      <c r="H178" s="219">
        <f>ROUND(F178*$T$7+F178*$T$8,1)-0.1</f>
        <v>5361.299999999999</v>
      </c>
      <c r="I178" s="219">
        <v>905.7</v>
      </c>
      <c r="J178" s="219">
        <v>803.9</v>
      </c>
      <c r="K178" s="7">
        <v>18.8</v>
      </c>
      <c r="L178" s="3" t="e">
        <f>K178-#REF!</f>
        <v>#REF!</v>
      </c>
      <c r="M178" s="63">
        <f t="shared" si="98"/>
        <v>0.3506546797478271</v>
      </c>
      <c r="N178" s="25">
        <f t="shared" si="99"/>
        <v>-5342.599999999999</v>
      </c>
      <c r="O178" s="263">
        <f t="shared" si="100"/>
        <v>0.3506612202264377</v>
      </c>
      <c r="P178" s="277">
        <f t="shared" si="101"/>
        <v>2.338599328274661</v>
      </c>
      <c r="Q178" s="263">
        <f t="shared" si="102"/>
        <v>-5342.499999999999</v>
      </c>
      <c r="R178" s="219">
        <f t="shared" si="103"/>
        <v>-785.1</v>
      </c>
      <c r="S178" s="88">
        <f t="shared" si="90"/>
        <v>0</v>
      </c>
      <c r="T178" s="89">
        <f t="shared" si="91"/>
        <v>0</v>
      </c>
      <c r="U178" s="89">
        <f t="shared" si="92"/>
        <v>0</v>
      </c>
      <c r="V178" s="89">
        <f t="shared" si="93"/>
        <v>0</v>
      </c>
      <c r="W178" s="248">
        <f t="shared" si="116"/>
        <v>0.1000000000003638</v>
      </c>
      <c r="X178" s="89">
        <f t="shared" si="87"/>
        <v>101.80000000000007</v>
      </c>
    </row>
    <row r="179" spans="1:24" s="119" customFormat="1" ht="20.25">
      <c r="A179" s="207" t="s">
        <v>283</v>
      </c>
      <c r="B179" s="211"/>
      <c r="C179" s="209">
        <f>C140+C151+C162+C169+C177</f>
        <v>2879009.8000000003</v>
      </c>
      <c r="D179" s="209">
        <f>K179-C179</f>
        <v>477123.899999999</v>
      </c>
      <c r="E179" s="209">
        <f>K179/C179*100</f>
        <v>116.57250003108703</v>
      </c>
      <c r="F179" s="209">
        <f aca="true" t="shared" si="117" ref="F179:L179">F140+F151+F162+F169+F177</f>
        <v>99728</v>
      </c>
      <c r="G179" s="209">
        <f t="shared" si="117"/>
        <v>99728</v>
      </c>
      <c r="H179" s="209">
        <f t="shared" si="117"/>
        <v>99727.90000000001</v>
      </c>
      <c r="I179" s="209">
        <f t="shared" si="117"/>
        <v>90107.29999999999</v>
      </c>
      <c r="J179" s="209">
        <f t="shared" si="117"/>
        <v>89830.59999999999</v>
      </c>
      <c r="K179" s="209">
        <f t="shared" si="117"/>
        <v>3356133.6999999993</v>
      </c>
      <c r="L179" s="203" t="e">
        <f t="shared" si="117"/>
        <v>#REF!</v>
      </c>
      <c r="M179" s="209">
        <f>K179/F179*100</f>
        <v>3365.287281405422</v>
      </c>
      <c r="N179" s="203">
        <f t="shared" si="99"/>
        <v>3256405.6999999993</v>
      </c>
      <c r="O179" s="203">
        <f t="shared" si="100"/>
        <v>3365.2906558746336</v>
      </c>
      <c r="P179" s="209">
        <f t="shared" si="101"/>
        <v>3736.069557589507</v>
      </c>
      <c r="Q179" s="203">
        <f t="shared" si="102"/>
        <v>3256405.7999999993</v>
      </c>
      <c r="R179" s="209">
        <f t="shared" si="103"/>
        <v>3266303.099999999</v>
      </c>
      <c r="S179" s="116"/>
      <c r="T179" s="117"/>
      <c r="U179" s="117"/>
      <c r="V179" s="117"/>
      <c r="W179" s="248">
        <f t="shared" si="116"/>
        <v>0.09999999999126885</v>
      </c>
      <c r="X179" s="89">
        <f t="shared" si="87"/>
        <v>276.6999999999971</v>
      </c>
    </row>
    <row r="180" spans="1:24" s="224" customFormat="1" ht="20.25">
      <c r="A180" s="212" t="s">
        <v>285</v>
      </c>
      <c r="B180" s="204"/>
      <c r="C180" s="209">
        <f>C179-C169</f>
        <v>2878351.4000000004</v>
      </c>
      <c r="D180" s="209">
        <f t="shared" si="95"/>
        <v>453572.899999999</v>
      </c>
      <c r="E180" s="209">
        <f t="shared" si="96"/>
        <v>115.75807943394261</v>
      </c>
      <c r="F180" s="209">
        <f>F179-F169</f>
        <v>73794.2</v>
      </c>
      <c r="G180" s="209">
        <f>G179-G169</f>
        <v>73794.2</v>
      </c>
      <c r="H180" s="209">
        <f>H179-H169</f>
        <v>73794.1</v>
      </c>
      <c r="I180" s="209">
        <f>I179-I169</f>
        <v>64173.499999999985</v>
      </c>
      <c r="J180" s="209">
        <f>J179-J169</f>
        <v>63907.29999999999</v>
      </c>
      <c r="K180" s="209">
        <f>(K179-K169)</f>
        <v>3331924.2999999993</v>
      </c>
      <c r="L180" s="203" t="e">
        <f>(L179-L169)</f>
        <v>#REF!</v>
      </c>
      <c r="M180" s="210">
        <f t="shared" si="98"/>
        <v>4515.157424296218</v>
      </c>
      <c r="N180" s="203">
        <f t="shared" si="99"/>
        <v>3258130.099999999</v>
      </c>
      <c r="O180" s="203">
        <f t="shared" si="100"/>
        <v>4515.163542884864</v>
      </c>
      <c r="P180" s="210">
        <f t="shared" si="101"/>
        <v>5213.68341331898</v>
      </c>
      <c r="Q180" s="203">
        <f t="shared" si="102"/>
        <v>3258130.1999999993</v>
      </c>
      <c r="R180" s="209">
        <f t="shared" si="103"/>
        <v>3268016.9999999995</v>
      </c>
      <c r="S180" s="116">
        <f>K180-H180-Q180</f>
        <v>0</v>
      </c>
      <c r="T180" s="117">
        <f>K180-J180-R180</f>
        <v>0</v>
      </c>
      <c r="U180" s="117">
        <f>K180/F180*100-M180</f>
        <v>0</v>
      </c>
      <c r="V180" s="117">
        <f>K180/H180*100-O180</f>
        <v>0</v>
      </c>
      <c r="W180" s="248">
        <f t="shared" si="116"/>
        <v>0.09999999999126885</v>
      </c>
      <c r="X180" s="89">
        <f t="shared" si="87"/>
        <v>266.1999999999971</v>
      </c>
    </row>
    <row r="181" spans="1:24" s="224" customFormat="1" ht="20.25">
      <c r="A181" s="213" t="s">
        <v>286</v>
      </c>
      <c r="B181" s="204"/>
      <c r="C181" s="203">
        <f>C162+C158+C160</f>
        <v>49341.6</v>
      </c>
      <c r="D181" s="203">
        <f>K181-C181</f>
        <v>8149.5999999999985</v>
      </c>
      <c r="E181" s="203">
        <f>K181/C181*100</f>
        <v>116.51669179759068</v>
      </c>
      <c r="F181" s="209">
        <f aca="true" t="shared" si="118" ref="F181:L181">F162+F158+F160</f>
        <v>6599.2</v>
      </c>
      <c r="G181" s="209">
        <f t="shared" si="118"/>
        <v>6599.2</v>
      </c>
      <c r="H181" s="209">
        <f t="shared" si="118"/>
        <v>6599.2</v>
      </c>
      <c r="I181" s="209">
        <f t="shared" si="118"/>
        <v>3074</v>
      </c>
      <c r="J181" s="209">
        <f t="shared" si="118"/>
        <v>2912.3</v>
      </c>
      <c r="K181" s="209">
        <f t="shared" si="118"/>
        <v>57491.2</v>
      </c>
      <c r="L181" s="203" t="e">
        <f t="shared" si="118"/>
        <v>#REF!</v>
      </c>
      <c r="M181" s="203">
        <f>K181/F181*100</f>
        <v>871.1843859861801</v>
      </c>
      <c r="N181" s="203">
        <f t="shared" si="99"/>
        <v>50892</v>
      </c>
      <c r="O181" s="203">
        <f t="shared" si="100"/>
        <v>871.1843859861801</v>
      </c>
      <c r="P181" s="203">
        <f t="shared" si="101"/>
        <v>1974.0823404182258</v>
      </c>
      <c r="Q181" s="203">
        <f t="shared" si="102"/>
        <v>50892</v>
      </c>
      <c r="R181" s="203">
        <f t="shared" si="103"/>
        <v>54578.899999999994</v>
      </c>
      <c r="S181" s="116"/>
      <c r="T181" s="117"/>
      <c r="U181" s="117"/>
      <c r="V181" s="117"/>
      <c r="W181" s="248">
        <f t="shared" si="116"/>
        <v>0</v>
      </c>
      <c r="X181" s="89">
        <f t="shared" si="87"/>
        <v>161.69999999999982</v>
      </c>
    </row>
    <row r="182" spans="1:24" s="225" customFormat="1" ht="20.25">
      <c r="A182" s="214" t="s">
        <v>261</v>
      </c>
      <c r="B182" s="211"/>
      <c r="C182" s="209">
        <f>C138+C179</f>
        <v>5587061.9759</v>
      </c>
      <c r="D182" s="209">
        <f t="shared" si="95"/>
        <v>-302387.1759000011</v>
      </c>
      <c r="E182" s="209">
        <f t="shared" si="96"/>
        <v>94.58772468957102</v>
      </c>
      <c r="F182" s="209">
        <f aca="true" t="shared" si="119" ref="F182:L182">F138+F179</f>
        <v>2862888</v>
      </c>
      <c r="G182" s="209">
        <f t="shared" si="119"/>
        <v>2862888</v>
      </c>
      <c r="H182" s="209">
        <f t="shared" si="119"/>
        <v>2862887.4</v>
      </c>
      <c r="I182" s="209">
        <f t="shared" si="119"/>
        <v>2276984.5</v>
      </c>
      <c r="J182" s="209">
        <f t="shared" si="119"/>
        <v>2172325.1</v>
      </c>
      <c r="K182" s="209">
        <f t="shared" si="119"/>
        <v>5284674.799999999</v>
      </c>
      <c r="L182" s="203" t="e">
        <f t="shared" si="119"/>
        <v>#REF!</v>
      </c>
      <c r="M182" s="209">
        <f t="shared" si="98"/>
        <v>184.59243952260792</v>
      </c>
      <c r="N182" s="203">
        <f t="shared" si="99"/>
        <v>2421786.799999999</v>
      </c>
      <c r="O182" s="203">
        <f t="shared" si="100"/>
        <v>184.59247820923724</v>
      </c>
      <c r="P182" s="209">
        <f t="shared" si="101"/>
        <v>243.27274034627683</v>
      </c>
      <c r="Q182" s="203">
        <f t="shared" si="102"/>
        <v>2421787.399999999</v>
      </c>
      <c r="R182" s="209">
        <f t="shared" si="103"/>
        <v>3112349.699999999</v>
      </c>
      <c r="S182" s="116">
        <f>K182-H182-Q182</f>
        <v>0</v>
      </c>
      <c r="T182" s="117">
        <f>K182-J182-R182</f>
        <v>0</v>
      </c>
      <c r="U182" s="117">
        <f>K182/F182*100-M182</f>
        <v>0</v>
      </c>
      <c r="V182" s="117">
        <f>K182/H182*100-O182</f>
        <v>0</v>
      </c>
      <c r="W182" s="248">
        <f t="shared" si="116"/>
        <v>0.6000000000931323</v>
      </c>
      <c r="X182" s="89">
        <f t="shared" si="87"/>
        <v>104659.3999999999</v>
      </c>
    </row>
    <row r="183" spans="1:24" s="150" customFormat="1" ht="20.25">
      <c r="A183" s="179"/>
      <c r="B183" s="180"/>
      <c r="C183" s="11"/>
      <c r="D183" s="11"/>
      <c r="E183" s="101"/>
      <c r="F183" s="11"/>
      <c r="G183" s="221"/>
      <c r="H183" s="221"/>
      <c r="I183" s="231"/>
      <c r="J183" s="221"/>
      <c r="K183" s="11"/>
      <c r="L183" s="11"/>
      <c r="M183" s="11"/>
      <c r="N183" s="11"/>
      <c r="O183" s="221"/>
      <c r="P183" s="221"/>
      <c r="Q183" s="221"/>
      <c r="R183" s="221"/>
      <c r="S183" s="88">
        <f>K183-H183-Q183</f>
        <v>0</v>
      </c>
      <c r="T183" s="89">
        <f>K183-J183-R183</f>
        <v>0</v>
      </c>
      <c r="U183" s="89" t="e">
        <f>K183/F183*100-M183</f>
        <v>#DIV/0!</v>
      </c>
      <c r="V183" s="89" t="e">
        <f>K183/H183*100-O183</f>
        <v>#DIV/0!</v>
      </c>
      <c r="W183" s="248">
        <f t="shared" si="116"/>
        <v>0</v>
      </c>
      <c r="X183" s="89">
        <f t="shared" si="87"/>
        <v>0</v>
      </c>
    </row>
    <row r="184" spans="1:18" ht="16.5">
      <c r="A184" s="809"/>
      <c r="B184" s="809"/>
      <c r="C184" s="809"/>
      <c r="D184" s="809"/>
      <c r="E184" s="809"/>
      <c r="F184" s="809"/>
      <c r="G184" s="809"/>
      <c r="L184" s="125"/>
      <c r="M184" s="125"/>
      <c r="N184" s="125"/>
      <c r="O184" s="258"/>
      <c r="P184" s="258"/>
      <c r="Q184" s="258"/>
      <c r="R184" s="258"/>
    </row>
    <row r="185" spans="1:18" ht="16.5">
      <c r="A185" s="809"/>
      <c r="B185" s="809"/>
      <c r="C185" s="809"/>
      <c r="D185" s="809"/>
      <c r="E185" s="809"/>
      <c r="F185" s="809"/>
      <c r="G185" s="809"/>
      <c r="L185" s="125"/>
      <c r="M185" s="125"/>
      <c r="N185" s="125"/>
      <c r="O185" s="258"/>
      <c r="P185" s="258"/>
      <c r="Q185" s="258"/>
      <c r="R185" s="258"/>
    </row>
    <row r="186" spans="1:18" ht="16.5">
      <c r="A186" s="809"/>
      <c r="B186" s="809"/>
      <c r="C186" s="809"/>
      <c r="D186" s="809"/>
      <c r="E186" s="809"/>
      <c r="F186" s="809"/>
      <c r="G186" s="809"/>
      <c r="L186" s="125"/>
      <c r="M186" s="125"/>
      <c r="N186" s="125"/>
      <c r="O186" s="258"/>
      <c r="P186" s="258"/>
      <c r="Q186" s="258"/>
      <c r="R186" s="258"/>
    </row>
    <row r="187" spans="1:18" ht="16.5">
      <c r="A187" s="809"/>
      <c r="B187" s="809"/>
      <c r="C187" s="809"/>
      <c r="D187" s="809"/>
      <c r="E187" s="809"/>
      <c r="F187" s="809"/>
      <c r="G187" s="809"/>
      <c r="L187" s="125"/>
      <c r="M187" s="125"/>
      <c r="N187" s="125"/>
      <c r="O187" s="258"/>
      <c r="P187" s="258"/>
      <c r="Q187" s="258"/>
      <c r="R187" s="258"/>
    </row>
    <row r="188" spans="1:18" ht="16.5">
      <c r="A188" s="809"/>
      <c r="B188" s="809"/>
      <c r="C188" s="809"/>
      <c r="D188" s="809"/>
      <c r="E188" s="809"/>
      <c r="F188" s="809"/>
      <c r="G188" s="809"/>
      <c r="L188" s="125"/>
      <c r="M188" s="125"/>
      <c r="N188" s="125"/>
      <c r="O188" s="258"/>
      <c r="P188" s="258"/>
      <c r="Q188" s="258"/>
      <c r="R188" s="258"/>
    </row>
    <row r="189" spans="1:18" ht="16.5">
      <c r="A189" s="809"/>
      <c r="B189" s="809"/>
      <c r="C189" s="809"/>
      <c r="D189" s="809"/>
      <c r="E189" s="809"/>
      <c r="F189" s="809"/>
      <c r="G189" s="809"/>
      <c r="L189" s="125"/>
      <c r="M189" s="125"/>
      <c r="N189" s="125"/>
      <c r="O189" s="258"/>
      <c r="P189" s="258"/>
      <c r="Q189" s="258"/>
      <c r="R189" s="258"/>
    </row>
    <row r="190" spans="1:18" ht="16.5">
      <c r="A190" s="809"/>
      <c r="B190" s="809"/>
      <c r="C190" s="809"/>
      <c r="D190" s="809"/>
      <c r="E190" s="809"/>
      <c r="F190" s="809"/>
      <c r="G190" s="809"/>
      <c r="L190" s="125"/>
      <c r="M190" s="125"/>
      <c r="N190" s="125"/>
      <c r="O190" s="258"/>
      <c r="P190" s="258"/>
      <c r="Q190" s="258"/>
      <c r="R190" s="258"/>
    </row>
    <row r="191" spans="1:18" ht="16.5">
      <c r="A191" s="809"/>
      <c r="B191" s="809"/>
      <c r="C191" s="809"/>
      <c r="D191" s="809"/>
      <c r="E191" s="809"/>
      <c r="F191" s="809"/>
      <c r="G191" s="809"/>
      <c r="L191" s="125"/>
      <c r="M191" s="125"/>
      <c r="N191" s="125"/>
      <c r="O191" s="258"/>
      <c r="P191" s="258"/>
      <c r="Q191" s="258"/>
      <c r="R191" s="258"/>
    </row>
    <row r="192" spans="1:18" ht="16.5">
      <c r="A192" s="809"/>
      <c r="B192" s="809"/>
      <c r="C192" s="809"/>
      <c r="D192" s="809"/>
      <c r="E192" s="809"/>
      <c r="F192" s="809"/>
      <c r="G192" s="809"/>
      <c r="L192" s="125"/>
      <c r="M192" s="125"/>
      <c r="N192" s="125"/>
      <c r="O192" s="258"/>
      <c r="P192" s="258"/>
      <c r="Q192" s="258"/>
      <c r="R192" s="258"/>
    </row>
    <row r="193" spans="1:18" ht="16.5">
      <c r="A193" s="809"/>
      <c r="B193" s="809"/>
      <c r="C193" s="809"/>
      <c r="D193" s="809"/>
      <c r="E193" s="809"/>
      <c r="F193" s="809"/>
      <c r="G193" s="809"/>
      <c r="L193" s="125"/>
      <c r="M193" s="125"/>
      <c r="N193" s="125"/>
      <c r="O193" s="258"/>
      <c r="P193" s="258"/>
      <c r="Q193" s="258"/>
      <c r="R193" s="258"/>
    </row>
    <row r="194" spans="1:18" ht="16.5">
      <c r="A194" s="809"/>
      <c r="B194" s="809"/>
      <c r="C194" s="809"/>
      <c r="D194" s="809"/>
      <c r="E194" s="809"/>
      <c r="F194" s="809"/>
      <c r="G194" s="809"/>
      <c r="L194" s="125"/>
      <c r="M194" s="125"/>
      <c r="N194" s="125"/>
      <c r="O194" s="258"/>
      <c r="P194" s="258"/>
      <c r="Q194" s="258"/>
      <c r="R194" s="258"/>
    </row>
    <row r="195" spans="1:18" ht="16.5">
      <c r="A195" s="809"/>
      <c r="B195" s="809"/>
      <c r="C195" s="809"/>
      <c r="D195" s="809"/>
      <c r="E195" s="809"/>
      <c r="F195" s="809"/>
      <c r="G195" s="809"/>
      <c r="L195" s="125"/>
      <c r="M195" s="125"/>
      <c r="N195" s="125"/>
      <c r="O195" s="258"/>
      <c r="P195" s="258"/>
      <c r="Q195" s="258"/>
      <c r="R195" s="258"/>
    </row>
    <row r="196" spans="1:18" ht="16.5">
      <c r="A196" s="809"/>
      <c r="B196" s="809"/>
      <c r="C196" s="809"/>
      <c r="D196" s="809"/>
      <c r="E196" s="809"/>
      <c r="F196" s="809"/>
      <c r="G196" s="809"/>
      <c r="L196" s="125"/>
      <c r="M196" s="125"/>
      <c r="N196" s="125"/>
      <c r="O196" s="258"/>
      <c r="P196" s="258"/>
      <c r="Q196" s="258"/>
      <c r="R196" s="258"/>
    </row>
    <row r="197" spans="1:18" ht="16.5">
      <c r="A197" s="809"/>
      <c r="B197" s="809"/>
      <c r="C197" s="809"/>
      <c r="D197" s="809"/>
      <c r="E197" s="809"/>
      <c r="F197" s="809"/>
      <c r="G197" s="809"/>
      <c r="L197" s="125"/>
      <c r="M197" s="125"/>
      <c r="N197" s="125"/>
      <c r="O197" s="258"/>
      <c r="P197" s="258"/>
      <c r="Q197" s="258"/>
      <c r="R197" s="258"/>
    </row>
    <row r="198" spans="1:18" ht="16.5">
      <c r="A198" s="809"/>
      <c r="B198" s="809"/>
      <c r="C198" s="809"/>
      <c r="D198" s="809"/>
      <c r="E198" s="809"/>
      <c r="F198" s="809"/>
      <c r="G198" s="809"/>
      <c r="L198" s="125"/>
      <c r="M198" s="125"/>
      <c r="N198" s="125"/>
      <c r="O198" s="258"/>
      <c r="P198" s="258"/>
      <c r="Q198" s="258"/>
      <c r="R198" s="258"/>
    </row>
    <row r="199" spans="1:18" ht="16.5">
      <c r="A199" s="809"/>
      <c r="B199" s="809"/>
      <c r="C199" s="809"/>
      <c r="D199" s="809"/>
      <c r="E199" s="809"/>
      <c r="F199" s="809"/>
      <c r="G199" s="809"/>
      <c r="L199" s="125"/>
      <c r="M199" s="125"/>
      <c r="N199" s="125"/>
      <c r="O199" s="258"/>
      <c r="P199" s="258"/>
      <c r="Q199" s="258"/>
      <c r="R199" s="258"/>
    </row>
    <row r="200" spans="1:18" ht="16.5">
      <c r="A200" s="809"/>
      <c r="B200" s="809"/>
      <c r="C200" s="809"/>
      <c r="D200" s="809"/>
      <c r="E200" s="809"/>
      <c r="F200" s="809"/>
      <c r="G200" s="809"/>
      <c r="L200" s="125"/>
      <c r="M200" s="125"/>
      <c r="N200" s="125"/>
      <c r="O200" s="258"/>
      <c r="P200" s="258"/>
      <c r="Q200" s="258"/>
      <c r="R200" s="258"/>
    </row>
    <row r="201" spans="1:18" ht="16.5">
      <c r="A201" s="809"/>
      <c r="B201" s="809"/>
      <c r="C201" s="809"/>
      <c r="D201" s="809"/>
      <c r="E201" s="809"/>
      <c r="F201" s="809"/>
      <c r="G201" s="809"/>
      <c r="L201" s="125"/>
      <c r="M201" s="125"/>
      <c r="N201" s="125"/>
      <c r="O201" s="258"/>
      <c r="P201" s="258"/>
      <c r="Q201" s="258"/>
      <c r="R201" s="258"/>
    </row>
    <row r="202" spans="1:18" ht="16.5">
      <c r="A202" s="809"/>
      <c r="B202" s="809"/>
      <c r="C202" s="809"/>
      <c r="D202" s="809"/>
      <c r="E202" s="809"/>
      <c r="F202" s="809"/>
      <c r="G202" s="809"/>
      <c r="L202" s="125"/>
      <c r="M202" s="125"/>
      <c r="N202" s="125"/>
      <c r="O202" s="258"/>
      <c r="P202" s="258"/>
      <c r="Q202" s="258"/>
      <c r="R202" s="258"/>
    </row>
    <row r="203" spans="1:18" ht="16.5">
      <c r="A203" s="809"/>
      <c r="B203" s="809"/>
      <c r="C203" s="809"/>
      <c r="D203" s="809"/>
      <c r="E203" s="809"/>
      <c r="F203" s="809"/>
      <c r="G203" s="809"/>
      <c r="L203" s="125"/>
      <c r="M203" s="125"/>
      <c r="N203" s="125"/>
      <c r="O203" s="258"/>
      <c r="P203" s="258"/>
      <c r="Q203" s="258"/>
      <c r="R203" s="258"/>
    </row>
    <row r="204" spans="1:18" ht="16.5">
      <c r="A204" s="809"/>
      <c r="B204" s="809"/>
      <c r="C204" s="809"/>
      <c r="D204" s="809"/>
      <c r="E204" s="809"/>
      <c r="F204" s="809"/>
      <c r="G204" s="809"/>
      <c r="L204" s="125"/>
      <c r="M204" s="125"/>
      <c r="N204" s="125"/>
      <c r="O204" s="258"/>
      <c r="P204" s="258"/>
      <c r="Q204" s="258"/>
      <c r="R204" s="258"/>
    </row>
    <row r="205" spans="1:18" ht="16.5">
      <c r="A205" s="809"/>
      <c r="B205" s="809"/>
      <c r="C205" s="809"/>
      <c r="D205" s="809"/>
      <c r="E205" s="809"/>
      <c r="F205" s="809"/>
      <c r="G205" s="809"/>
      <c r="L205" s="125"/>
      <c r="M205" s="125"/>
      <c r="N205" s="125"/>
      <c r="O205" s="258"/>
      <c r="P205" s="258"/>
      <c r="Q205" s="258"/>
      <c r="R205" s="258"/>
    </row>
    <row r="206" spans="1:18" ht="16.5">
      <c r="A206" s="809"/>
      <c r="B206" s="809"/>
      <c r="C206" s="809"/>
      <c r="D206" s="809"/>
      <c r="E206" s="809"/>
      <c r="F206" s="809"/>
      <c r="G206" s="809"/>
      <c r="L206" s="125"/>
      <c r="M206" s="125"/>
      <c r="N206" s="125"/>
      <c r="O206" s="258"/>
      <c r="P206" s="258"/>
      <c r="Q206" s="258"/>
      <c r="R206" s="258"/>
    </row>
    <row r="207" spans="1:18" ht="16.5">
      <c r="A207" s="809"/>
      <c r="B207" s="809"/>
      <c r="C207" s="809"/>
      <c r="D207" s="809"/>
      <c r="E207" s="809"/>
      <c r="F207" s="809"/>
      <c r="G207" s="809"/>
      <c r="L207" s="125"/>
      <c r="M207" s="125"/>
      <c r="N207" s="125"/>
      <c r="O207" s="258"/>
      <c r="P207" s="258"/>
      <c r="Q207" s="258"/>
      <c r="R207" s="258"/>
    </row>
    <row r="208" spans="1:18" ht="16.5">
      <c r="A208" s="809"/>
      <c r="B208" s="809"/>
      <c r="C208" s="809"/>
      <c r="D208" s="809"/>
      <c r="E208" s="809"/>
      <c r="F208" s="809"/>
      <c r="G208" s="809"/>
      <c r="L208" s="125"/>
      <c r="M208" s="125"/>
      <c r="N208" s="125"/>
      <c r="O208" s="258"/>
      <c r="P208" s="258"/>
      <c r="Q208" s="258"/>
      <c r="R208" s="258"/>
    </row>
    <row r="209" spans="1:18" ht="16.5">
      <c r="A209" s="809"/>
      <c r="B209" s="809"/>
      <c r="C209" s="809"/>
      <c r="D209" s="809"/>
      <c r="E209" s="809"/>
      <c r="F209" s="809"/>
      <c r="G209" s="809"/>
      <c r="L209" s="125"/>
      <c r="M209" s="125"/>
      <c r="N209" s="125"/>
      <c r="O209" s="258"/>
      <c r="P209" s="258"/>
      <c r="Q209" s="258"/>
      <c r="R209" s="258"/>
    </row>
    <row r="210" spans="12:18" ht="18.75">
      <c r="L210" s="125"/>
      <c r="M210" s="125"/>
      <c r="N210" s="125"/>
      <c r="O210" s="258"/>
      <c r="P210" s="258"/>
      <c r="Q210" s="258"/>
      <c r="R210" s="258"/>
    </row>
    <row r="211" spans="12:18" ht="18.75">
      <c r="L211" s="125"/>
      <c r="M211" s="125"/>
      <c r="N211" s="125"/>
      <c r="O211" s="258"/>
      <c r="P211" s="258"/>
      <c r="Q211" s="258"/>
      <c r="R211" s="258"/>
    </row>
    <row r="212" spans="12:18" ht="18.75">
      <c r="L212" s="125"/>
      <c r="M212" s="125"/>
      <c r="N212" s="125"/>
      <c r="O212" s="258"/>
      <c r="P212" s="258"/>
      <c r="Q212" s="258"/>
      <c r="R212" s="258"/>
    </row>
    <row r="213" spans="12:18" ht="18.75">
      <c r="L213" s="125"/>
      <c r="M213" s="125"/>
      <c r="N213" s="125"/>
      <c r="O213" s="258"/>
      <c r="P213" s="258"/>
      <c r="Q213" s="258"/>
      <c r="R213" s="258"/>
    </row>
    <row r="214" spans="12:18" ht="18.75">
      <c r="L214" s="125"/>
      <c r="M214" s="125"/>
      <c r="N214" s="125"/>
      <c r="O214" s="258"/>
      <c r="P214" s="258"/>
      <c r="Q214" s="258"/>
      <c r="R214" s="258"/>
    </row>
    <row r="215" spans="12:18" ht="18.75">
      <c r="L215" s="125"/>
      <c r="M215" s="125"/>
      <c r="N215" s="125"/>
      <c r="O215" s="258"/>
      <c r="P215" s="258"/>
      <c r="Q215" s="258"/>
      <c r="R215" s="258"/>
    </row>
    <row r="216" spans="12:18" ht="18.75">
      <c r="L216" s="125"/>
      <c r="M216" s="125"/>
      <c r="N216" s="125"/>
      <c r="O216" s="258"/>
      <c r="P216" s="258"/>
      <c r="Q216" s="258"/>
      <c r="R216" s="258"/>
    </row>
    <row r="217" spans="12:18" ht="18.75">
      <c r="L217" s="125"/>
      <c r="M217" s="125"/>
      <c r="N217" s="125"/>
      <c r="O217" s="258"/>
      <c r="P217" s="258"/>
      <c r="Q217" s="258"/>
      <c r="R217" s="258"/>
    </row>
    <row r="218" spans="12:18" ht="18.75">
      <c r="L218" s="125"/>
      <c r="M218" s="125"/>
      <c r="N218" s="125"/>
      <c r="O218" s="258"/>
      <c r="P218" s="258"/>
      <c r="Q218" s="258"/>
      <c r="R218" s="258"/>
    </row>
    <row r="219" spans="12:18" ht="18.75">
      <c r="L219" s="125"/>
      <c r="M219" s="125"/>
      <c r="N219" s="125"/>
      <c r="O219" s="258"/>
      <c r="P219" s="258"/>
      <c r="Q219" s="258"/>
      <c r="R219" s="258"/>
    </row>
    <row r="220" spans="12:18" ht="18.75">
      <c r="L220" s="125"/>
      <c r="M220" s="125"/>
      <c r="N220" s="125"/>
      <c r="O220" s="258"/>
      <c r="P220" s="258"/>
      <c r="Q220" s="258"/>
      <c r="R220" s="258"/>
    </row>
    <row r="221" spans="12:18" ht="18.75">
      <c r="L221" s="125"/>
      <c r="M221" s="125"/>
      <c r="N221" s="125"/>
      <c r="O221" s="258"/>
      <c r="P221" s="258"/>
      <c r="Q221" s="258"/>
      <c r="R221" s="258"/>
    </row>
    <row r="222" spans="12:18" ht="18.75">
      <c r="L222" s="125"/>
      <c r="M222" s="125"/>
      <c r="N222" s="125"/>
      <c r="O222" s="258"/>
      <c r="P222" s="258"/>
      <c r="Q222" s="258"/>
      <c r="R222" s="258"/>
    </row>
    <row r="223" spans="12:18" ht="18.75">
      <c r="L223" s="125"/>
      <c r="M223" s="125"/>
      <c r="N223" s="125"/>
      <c r="O223" s="258"/>
      <c r="P223" s="258"/>
      <c r="Q223" s="258"/>
      <c r="R223" s="258"/>
    </row>
    <row r="224" spans="12:18" ht="18.75">
      <c r="L224" s="125"/>
      <c r="M224" s="125"/>
      <c r="N224" s="125"/>
      <c r="O224" s="258"/>
      <c r="P224" s="258"/>
      <c r="Q224" s="258"/>
      <c r="R224" s="258"/>
    </row>
    <row r="225" spans="12:18" ht="18.75">
      <c r="L225" s="125"/>
      <c r="M225" s="125"/>
      <c r="N225" s="125"/>
      <c r="O225" s="258"/>
      <c r="P225" s="258"/>
      <c r="Q225" s="258"/>
      <c r="R225" s="258"/>
    </row>
    <row r="226" spans="12:18" ht="18.75">
      <c r="L226" s="125"/>
      <c r="M226" s="125"/>
      <c r="N226" s="125"/>
      <c r="O226" s="258"/>
      <c r="P226" s="258"/>
      <c r="Q226" s="258"/>
      <c r="R226" s="258"/>
    </row>
    <row r="227" spans="12:18" ht="18.75">
      <c r="L227" s="125"/>
      <c r="M227" s="125"/>
      <c r="N227" s="125"/>
      <c r="O227" s="258"/>
      <c r="P227" s="258"/>
      <c r="Q227" s="258"/>
      <c r="R227" s="258"/>
    </row>
    <row r="228" spans="12:18" ht="18.75">
      <c r="L228" s="125"/>
      <c r="M228" s="125"/>
      <c r="N228" s="125"/>
      <c r="O228" s="258"/>
      <c r="P228" s="258"/>
      <c r="Q228" s="258"/>
      <c r="R228" s="258"/>
    </row>
    <row r="229" spans="12:18" ht="18.75">
      <c r="L229" s="125"/>
      <c r="M229" s="125"/>
      <c r="N229" s="125"/>
      <c r="O229" s="258"/>
      <c r="P229" s="258"/>
      <c r="Q229" s="258"/>
      <c r="R229" s="258"/>
    </row>
    <row r="230" spans="12:18" ht="18.75">
      <c r="L230" s="125"/>
      <c r="M230" s="125"/>
      <c r="N230" s="125"/>
      <c r="O230" s="258"/>
      <c r="P230" s="258"/>
      <c r="Q230" s="258"/>
      <c r="R230" s="258"/>
    </row>
    <row r="231" spans="12:18" ht="18.75">
      <c r="L231" s="125"/>
      <c r="M231" s="125"/>
      <c r="N231" s="125"/>
      <c r="O231" s="258"/>
      <c r="P231" s="258"/>
      <c r="Q231" s="258"/>
      <c r="R231" s="258"/>
    </row>
    <row r="232" spans="12:18" ht="18.75">
      <c r="L232" s="125"/>
      <c r="M232" s="125"/>
      <c r="N232" s="125"/>
      <c r="O232" s="258"/>
      <c r="P232" s="258"/>
      <c r="Q232" s="258"/>
      <c r="R232" s="258"/>
    </row>
    <row r="233" spans="12:18" ht="18.75">
      <c r="L233" s="125"/>
      <c r="M233" s="125"/>
      <c r="N233" s="125"/>
      <c r="O233" s="258"/>
      <c r="P233" s="258"/>
      <c r="Q233" s="258"/>
      <c r="R233" s="258"/>
    </row>
    <row r="234" spans="12:18" ht="18.75">
      <c r="L234" s="125"/>
      <c r="M234" s="125"/>
      <c r="N234" s="125"/>
      <c r="O234" s="258"/>
      <c r="P234" s="258"/>
      <c r="Q234" s="258"/>
      <c r="R234" s="258"/>
    </row>
    <row r="235" spans="12:18" ht="18.75">
      <c r="L235" s="125"/>
      <c r="M235" s="125"/>
      <c r="N235" s="125"/>
      <c r="O235" s="258"/>
      <c r="P235" s="258"/>
      <c r="Q235" s="258"/>
      <c r="R235" s="258"/>
    </row>
    <row r="236" spans="12:18" ht="18.75">
      <c r="L236" s="125"/>
      <c r="M236" s="125"/>
      <c r="N236" s="125"/>
      <c r="O236" s="258"/>
      <c r="P236" s="258"/>
      <c r="Q236" s="258"/>
      <c r="R236" s="258"/>
    </row>
    <row r="237" spans="12:18" ht="18.75">
      <c r="L237" s="125"/>
      <c r="M237" s="125"/>
      <c r="N237" s="125"/>
      <c r="O237" s="258"/>
      <c r="P237" s="258"/>
      <c r="Q237" s="258"/>
      <c r="R237" s="258"/>
    </row>
    <row r="238" spans="12:18" ht="18.75">
      <c r="L238" s="125"/>
      <c r="M238" s="125"/>
      <c r="N238" s="125"/>
      <c r="O238" s="258"/>
      <c r="P238" s="258"/>
      <c r="Q238" s="258"/>
      <c r="R238" s="258"/>
    </row>
    <row r="239" spans="12:18" ht="18.75">
      <c r="L239" s="125"/>
      <c r="M239" s="125"/>
      <c r="N239" s="125"/>
      <c r="O239" s="258"/>
      <c r="P239" s="258"/>
      <c r="Q239" s="258"/>
      <c r="R239" s="258"/>
    </row>
    <row r="240" spans="12:18" ht="18.75">
      <c r="L240" s="125"/>
      <c r="M240" s="125"/>
      <c r="N240" s="125"/>
      <c r="O240" s="258"/>
      <c r="P240" s="258"/>
      <c r="Q240" s="258"/>
      <c r="R240" s="258"/>
    </row>
    <row r="241" spans="12:18" ht="18.75">
      <c r="L241" s="125"/>
      <c r="M241" s="125"/>
      <c r="N241" s="125"/>
      <c r="O241" s="258"/>
      <c r="P241" s="258"/>
      <c r="Q241" s="258"/>
      <c r="R241" s="258"/>
    </row>
    <row r="242" spans="12:18" ht="18.75">
      <c r="L242" s="125"/>
      <c r="M242" s="125"/>
      <c r="N242" s="125"/>
      <c r="O242" s="258"/>
      <c r="P242" s="258"/>
      <c r="Q242" s="258"/>
      <c r="R242" s="258"/>
    </row>
    <row r="243" spans="12:18" ht="18.75">
      <c r="L243" s="125"/>
      <c r="M243" s="125"/>
      <c r="N243" s="125"/>
      <c r="O243" s="258"/>
      <c r="P243" s="258"/>
      <c r="Q243" s="258"/>
      <c r="R243" s="258"/>
    </row>
    <row r="244" spans="12:18" ht="18.75">
      <c r="L244" s="125"/>
      <c r="M244" s="125"/>
      <c r="N244" s="125"/>
      <c r="O244" s="258"/>
      <c r="P244" s="258"/>
      <c r="Q244" s="258"/>
      <c r="R244" s="258"/>
    </row>
    <row r="245" spans="12:18" ht="18.75">
      <c r="L245" s="125"/>
      <c r="M245" s="125"/>
      <c r="N245" s="125"/>
      <c r="O245" s="258"/>
      <c r="P245" s="258"/>
      <c r="Q245" s="258"/>
      <c r="R245" s="258"/>
    </row>
    <row r="246" spans="12:18" ht="18.75">
      <c r="L246" s="125"/>
      <c r="M246" s="125"/>
      <c r="N246" s="125"/>
      <c r="O246" s="258"/>
      <c r="P246" s="258"/>
      <c r="Q246" s="258"/>
      <c r="R246" s="258"/>
    </row>
    <row r="247" spans="12:18" ht="18.75">
      <c r="L247" s="125"/>
      <c r="M247" s="125"/>
      <c r="N247" s="125"/>
      <c r="O247" s="258"/>
      <c r="P247" s="258"/>
      <c r="Q247" s="258"/>
      <c r="R247" s="258"/>
    </row>
    <row r="248" spans="12:18" ht="18.75">
      <c r="L248" s="125"/>
      <c r="M248" s="125"/>
      <c r="N248" s="125"/>
      <c r="O248" s="258"/>
      <c r="P248" s="258"/>
      <c r="Q248" s="258"/>
      <c r="R248" s="258"/>
    </row>
    <row r="249" spans="12:18" ht="18.75">
      <c r="L249" s="125"/>
      <c r="M249" s="125"/>
      <c r="N249" s="125"/>
      <c r="O249" s="258"/>
      <c r="P249" s="258"/>
      <c r="Q249" s="258"/>
      <c r="R249" s="258"/>
    </row>
    <row r="250" spans="12:18" ht="18.75">
      <c r="L250" s="125"/>
      <c r="M250" s="125"/>
      <c r="N250" s="125"/>
      <c r="O250" s="258"/>
      <c r="P250" s="258"/>
      <c r="Q250" s="258"/>
      <c r="R250" s="258"/>
    </row>
    <row r="251" spans="12:18" ht="18.75">
      <c r="L251" s="125"/>
      <c r="M251" s="125"/>
      <c r="N251" s="125"/>
      <c r="O251" s="258"/>
      <c r="P251" s="258"/>
      <c r="Q251" s="258"/>
      <c r="R251" s="258"/>
    </row>
    <row r="252" spans="12:18" ht="18.75">
      <c r="L252" s="125"/>
      <c r="M252" s="125"/>
      <c r="N252" s="125"/>
      <c r="O252" s="258"/>
      <c r="P252" s="258"/>
      <c r="Q252" s="258"/>
      <c r="R252" s="258"/>
    </row>
    <row r="253" spans="12:18" ht="18.75">
      <c r="L253" s="125"/>
      <c r="M253" s="125"/>
      <c r="N253" s="125"/>
      <c r="O253" s="258"/>
      <c r="P253" s="258"/>
      <c r="Q253" s="258"/>
      <c r="R253" s="258"/>
    </row>
    <row r="254" spans="12:18" ht="18.75">
      <c r="L254" s="125"/>
      <c r="M254" s="125"/>
      <c r="N254" s="125"/>
      <c r="O254" s="258"/>
      <c r="P254" s="258"/>
      <c r="Q254" s="258"/>
      <c r="R254" s="258"/>
    </row>
    <row r="255" spans="12:18" ht="18.75">
      <c r="L255" s="125"/>
      <c r="M255" s="125"/>
      <c r="N255" s="125"/>
      <c r="O255" s="258"/>
      <c r="P255" s="258"/>
      <c r="Q255" s="258"/>
      <c r="R255" s="258"/>
    </row>
    <row r="256" spans="12:18" ht="18.75">
      <c r="L256" s="125"/>
      <c r="M256" s="125"/>
      <c r="N256" s="125"/>
      <c r="O256" s="258"/>
      <c r="P256" s="258"/>
      <c r="Q256" s="258"/>
      <c r="R256" s="258"/>
    </row>
    <row r="257" spans="12:18" ht="18.75">
      <c r="L257" s="125"/>
      <c r="M257" s="125"/>
      <c r="N257" s="125"/>
      <c r="O257" s="258"/>
      <c r="P257" s="258"/>
      <c r="Q257" s="258"/>
      <c r="R257" s="258"/>
    </row>
    <row r="258" spans="12:18" ht="18.75">
      <c r="L258" s="125"/>
      <c r="M258" s="125"/>
      <c r="N258" s="125"/>
      <c r="O258" s="258"/>
      <c r="P258" s="258"/>
      <c r="Q258" s="258"/>
      <c r="R258" s="258"/>
    </row>
    <row r="259" spans="12:18" ht="18.75">
      <c r="L259" s="125"/>
      <c r="M259" s="125"/>
      <c r="N259" s="125"/>
      <c r="O259" s="258"/>
      <c r="P259" s="258"/>
      <c r="Q259" s="258"/>
      <c r="R259" s="258"/>
    </row>
    <row r="260" spans="12:18" ht="18.75">
      <c r="L260" s="125"/>
      <c r="M260" s="125"/>
      <c r="N260" s="125"/>
      <c r="O260" s="258"/>
      <c r="P260" s="258"/>
      <c r="Q260" s="258"/>
      <c r="R260" s="258"/>
    </row>
    <row r="261" spans="12:18" ht="18.75">
      <c r="L261" s="125"/>
      <c r="M261" s="125"/>
      <c r="N261" s="125"/>
      <c r="O261" s="258"/>
      <c r="P261" s="258"/>
      <c r="Q261" s="258"/>
      <c r="R261" s="258"/>
    </row>
    <row r="262" spans="12:18" ht="18.75">
      <c r="L262" s="125"/>
      <c r="M262" s="125"/>
      <c r="N262" s="125"/>
      <c r="O262" s="258"/>
      <c r="P262" s="258"/>
      <c r="Q262" s="258"/>
      <c r="R262" s="258"/>
    </row>
    <row r="263" spans="12:18" ht="18.75">
      <c r="L263" s="125"/>
      <c r="M263" s="125"/>
      <c r="N263" s="125"/>
      <c r="O263" s="258"/>
      <c r="P263" s="258"/>
      <c r="Q263" s="258"/>
      <c r="R263" s="258"/>
    </row>
    <row r="264" spans="12:18" ht="18.75">
      <c r="L264" s="125"/>
      <c r="M264" s="125"/>
      <c r="N264" s="125"/>
      <c r="O264" s="258"/>
      <c r="P264" s="258"/>
      <c r="Q264" s="258"/>
      <c r="R264" s="258"/>
    </row>
    <row r="265" spans="12:18" ht="18.75">
      <c r="L265" s="125"/>
      <c r="M265" s="125"/>
      <c r="N265" s="125"/>
      <c r="O265" s="258"/>
      <c r="P265" s="258"/>
      <c r="Q265" s="258"/>
      <c r="R265" s="258"/>
    </row>
    <row r="266" spans="12:18" ht="18.75">
      <c r="L266" s="125"/>
      <c r="M266" s="125"/>
      <c r="N266" s="125"/>
      <c r="O266" s="258"/>
      <c r="P266" s="258"/>
      <c r="Q266" s="258"/>
      <c r="R266" s="258"/>
    </row>
    <row r="267" spans="12:18" ht="18.75">
      <c r="L267" s="125"/>
      <c r="M267" s="125"/>
      <c r="N267" s="125"/>
      <c r="O267" s="258"/>
      <c r="P267" s="258"/>
      <c r="Q267" s="258"/>
      <c r="R267" s="258"/>
    </row>
    <row r="268" spans="12:18" ht="18.75">
      <c r="L268" s="125"/>
      <c r="M268" s="125"/>
      <c r="N268" s="125"/>
      <c r="O268" s="258"/>
      <c r="P268" s="258"/>
      <c r="Q268" s="258"/>
      <c r="R268" s="258"/>
    </row>
    <row r="269" spans="12:18" ht="18.75">
      <c r="L269" s="125"/>
      <c r="M269" s="125"/>
      <c r="N269" s="125"/>
      <c r="O269" s="258"/>
      <c r="P269" s="258"/>
      <c r="Q269" s="258"/>
      <c r="R269" s="258"/>
    </row>
    <row r="270" spans="12:18" ht="18.75">
      <c r="L270" s="125"/>
      <c r="M270" s="125"/>
      <c r="N270" s="125"/>
      <c r="O270" s="258"/>
      <c r="P270" s="258"/>
      <c r="Q270" s="258"/>
      <c r="R270" s="258"/>
    </row>
    <row r="271" spans="12:18" ht="18.75">
      <c r="L271" s="125"/>
      <c r="M271" s="125"/>
      <c r="N271" s="125"/>
      <c r="O271" s="258"/>
      <c r="P271" s="258"/>
      <c r="Q271" s="258"/>
      <c r="R271" s="258"/>
    </row>
    <row r="272" spans="12:18" ht="18.75">
      <c r="L272" s="125"/>
      <c r="M272" s="125"/>
      <c r="N272" s="125"/>
      <c r="O272" s="258"/>
      <c r="P272" s="258"/>
      <c r="Q272" s="258"/>
      <c r="R272" s="258"/>
    </row>
    <row r="273" spans="12:18" ht="18.75">
      <c r="L273" s="125"/>
      <c r="M273" s="125"/>
      <c r="N273" s="125"/>
      <c r="O273" s="258"/>
      <c r="P273" s="258"/>
      <c r="Q273" s="258"/>
      <c r="R273" s="258"/>
    </row>
    <row r="274" spans="12:18" ht="18.75">
      <c r="L274" s="125"/>
      <c r="M274" s="125"/>
      <c r="N274" s="125"/>
      <c r="O274" s="258"/>
      <c r="P274" s="258"/>
      <c r="Q274" s="258"/>
      <c r="R274" s="258"/>
    </row>
    <row r="275" spans="12:18" ht="18.75">
      <c r="L275" s="125"/>
      <c r="M275" s="125"/>
      <c r="N275" s="125"/>
      <c r="O275" s="258"/>
      <c r="P275" s="258"/>
      <c r="Q275" s="258"/>
      <c r="R275" s="258"/>
    </row>
    <row r="276" spans="12:18" ht="18.75">
      <c r="L276" s="125"/>
      <c r="M276" s="125"/>
      <c r="N276" s="125"/>
      <c r="O276" s="258"/>
      <c r="P276" s="258"/>
      <c r="Q276" s="258"/>
      <c r="R276" s="258"/>
    </row>
    <row r="277" spans="12:18" ht="18.75">
      <c r="L277" s="125"/>
      <c r="M277" s="125"/>
      <c r="N277" s="125"/>
      <c r="O277" s="258"/>
      <c r="P277" s="258"/>
      <c r="Q277" s="258"/>
      <c r="R277" s="258"/>
    </row>
    <row r="278" spans="12:18" ht="18.75">
      <c r="L278" s="125"/>
      <c r="M278" s="125"/>
      <c r="N278" s="125"/>
      <c r="O278" s="258"/>
      <c r="P278" s="258"/>
      <c r="Q278" s="258"/>
      <c r="R278" s="258"/>
    </row>
    <row r="279" spans="12:18" ht="18.75">
      <c r="L279" s="125"/>
      <c r="M279" s="125"/>
      <c r="N279" s="125"/>
      <c r="O279" s="258"/>
      <c r="P279" s="258"/>
      <c r="Q279" s="258"/>
      <c r="R279" s="258"/>
    </row>
    <row r="280" spans="12:18" ht="18.75">
      <c r="L280" s="125"/>
      <c r="M280" s="125"/>
      <c r="N280" s="125"/>
      <c r="O280" s="258"/>
      <c r="P280" s="258"/>
      <c r="Q280" s="258"/>
      <c r="R280" s="258"/>
    </row>
    <row r="281" spans="12:18" ht="18.75">
      <c r="L281" s="125"/>
      <c r="M281" s="125"/>
      <c r="N281" s="125"/>
      <c r="O281" s="258"/>
      <c r="P281" s="258"/>
      <c r="Q281" s="258"/>
      <c r="R281" s="258"/>
    </row>
    <row r="282" spans="12:18" ht="18.75">
      <c r="L282" s="125"/>
      <c r="M282" s="125"/>
      <c r="N282" s="125"/>
      <c r="O282" s="258"/>
      <c r="P282" s="258"/>
      <c r="Q282" s="258"/>
      <c r="R282" s="258"/>
    </row>
    <row r="283" spans="12:18" ht="18.75">
      <c r="L283" s="125"/>
      <c r="M283" s="125"/>
      <c r="N283" s="125"/>
      <c r="O283" s="258"/>
      <c r="P283" s="258"/>
      <c r="Q283" s="258"/>
      <c r="R283" s="258"/>
    </row>
    <row r="284" spans="12:18" ht="18.75">
      <c r="L284" s="125"/>
      <c r="M284" s="125"/>
      <c r="N284" s="125"/>
      <c r="O284" s="258"/>
      <c r="P284" s="258"/>
      <c r="Q284" s="258"/>
      <c r="R284" s="258"/>
    </row>
    <row r="285" spans="12:18" ht="18.75">
      <c r="L285" s="125"/>
      <c r="M285" s="125"/>
      <c r="N285" s="125"/>
      <c r="O285" s="258"/>
      <c r="P285" s="258"/>
      <c r="Q285" s="258"/>
      <c r="R285" s="258"/>
    </row>
    <row r="286" spans="12:18" ht="18.75">
      <c r="L286" s="125"/>
      <c r="M286" s="125"/>
      <c r="N286" s="125"/>
      <c r="O286" s="258"/>
      <c r="P286" s="258"/>
      <c r="Q286" s="258"/>
      <c r="R286" s="258"/>
    </row>
    <row r="287" spans="12:18" ht="18.75">
      <c r="L287" s="125"/>
      <c r="M287" s="125"/>
      <c r="N287" s="125"/>
      <c r="O287" s="258"/>
      <c r="P287" s="258"/>
      <c r="Q287" s="258"/>
      <c r="R287" s="258"/>
    </row>
    <row r="288" spans="12:18" ht="18.75">
      <c r="L288" s="125"/>
      <c r="M288" s="125"/>
      <c r="N288" s="125"/>
      <c r="O288" s="258"/>
      <c r="P288" s="258"/>
      <c r="Q288" s="258"/>
      <c r="R288" s="258"/>
    </row>
    <row r="289" spans="12:18" ht="18.75">
      <c r="L289" s="125"/>
      <c r="M289" s="125"/>
      <c r="N289" s="125"/>
      <c r="O289" s="258"/>
      <c r="P289" s="258"/>
      <c r="Q289" s="258"/>
      <c r="R289" s="258"/>
    </row>
    <row r="290" spans="12:18" ht="18.75">
      <c r="L290" s="125"/>
      <c r="M290" s="125"/>
      <c r="N290" s="125"/>
      <c r="O290" s="258"/>
      <c r="P290" s="258"/>
      <c r="Q290" s="258"/>
      <c r="R290" s="258"/>
    </row>
    <row r="291" spans="12:18" ht="18.75">
      <c r="L291" s="125"/>
      <c r="M291" s="125"/>
      <c r="N291" s="125"/>
      <c r="O291" s="258"/>
      <c r="P291" s="258"/>
      <c r="Q291" s="258"/>
      <c r="R291" s="258"/>
    </row>
    <row r="292" spans="12:18" ht="18.75">
      <c r="L292" s="125"/>
      <c r="M292" s="125"/>
      <c r="N292" s="125"/>
      <c r="O292" s="258"/>
      <c r="P292" s="258"/>
      <c r="Q292" s="258"/>
      <c r="R292" s="258"/>
    </row>
    <row r="293" spans="12:18" ht="18.75">
      <c r="L293" s="125"/>
      <c r="M293" s="125"/>
      <c r="N293" s="125"/>
      <c r="O293" s="258"/>
      <c r="P293" s="258"/>
      <c r="Q293" s="258"/>
      <c r="R293" s="258"/>
    </row>
    <row r="294" spans="12:18" ht="18.75">
      <c r="L294" s="125"/>
      <c r="M294" s="125"/>
      <c r="N294" s="125"/>
      <c r="O294" s="258"/>
      <c r="P294" s="258"/>
      <c r="Q294" s="258"/>
      <c r="R294" s="258"/>
    </row>
    <row r="295" spans="12:18" ht="18.75">
      <c r="L295" s="125"/>
      <c r="M295" s="125"/>
      <c r="N295" s="125"/>
      <c r="O295" s="258"/>
      <c r="P295" s="258"/>
      <c r="Q295" s="258"/>
      <c r="R295" s="258"/>
    </row>
    <row r="296" spans="12:18" ht="18.75">
      <c r="L296" s="125"/>
      <c r="M296" s="125"/>
      <c r="N296" s="125"/>
      <c r="O296" s="258"/>
      <c r="P296" s="258"/>
      <c r="Q296" s="258"/>
      <c r="R296" s="258"/>
    </row>
    <row r="297" spans="12:18" ht="18.75">
      <c r="L297" s="125"/>
      <c r="M297" s="125"/>
      <c r="N297" s="125"/>
      <c r="O297" s="258"/>
      <c r="P297" s="258"/>
      <c r="Q297" s="258"/>
      <c r="R297" s="258"/>
    </row>
    <row r="298" spans="12:18" ht="18.75">
      <c r="L298" s="125"/>
      <c r="M298" s="125"/>
      <c r="N298" s="125"/>
      <c r="O298" s="258"/>
      <c r="P298" s="258"/>
      <c r="Q298" s="258"/>
      <c r="R298" s="258"/>
    </row>
    <row r="299" spans="12:18" ht="18.75">
      <c r="L299" s="125"/>
      <c r="M299" s="125"/>
      <c r="N299" s="125"/>
      <c r="O299" s="258"/>
      <c r="P299" s="258"/>
      <c r="Q299" s="258"/>
      <c r="R299" s="258"/>
    </row>
    <row r="300" spans="12:18" ht="18.75">
      <c r="L300" s="125"/>
      <c r="M300" s="125"/>
      <c r="N300" s="125"/>
      <c r="O300" s="258"/>
      <c r="P300" s="258"/>
      <c r="Q300" s="258"/>
      <c r="R300" s="258"/>
    </row>
    <row r="301" spans="12:18" ht="18.75">
      <c r="L301" s="125"/>
      <c r="M301" s="125"/>
      <c r="N301" s="125"/>
      <c r="O301" s="258"/>
      <c r="P301" s="258"/>
      <c r="Q301" s="258"/>
      <c r="R301" s="258"/>
    </row>
  </sheetData>
  <sheetProtection/>
  <mergeCells count="8">
    <mergeCell ref="A184:G209"/>
    <mergeCell ref="A2:R2"/>
    <mergeCell ref="L3:R3"/>
    <mergeCell ref="A4:A5"/>
    <mergeCell ref="B4:E4"/>
    <mergeCell ref="F4:N4"/>
    <mergeCell ref="A7:N7"/>
    <mergeCell ref="A139:N139"/>
  </mergeCells>
  <printOptions/>
  <pageMargins left="0.2755905511811024" right="0.15748031496062992" top="0.15748031496062992" bottom="0.15748031496062992" header="0.15748031496062992" footer="0.15748031496062992"/>
  <pageSetup fitToHeight="13" fitToWidth="1" horizontalDpi="600" verticalDpi="600" orientation="landscape" paperSize="9" scale="73" r:id="rId1"/>
  <rowBreaks count="2" manualBreakCount="2">
    <brk id="164" max="17" man="1"/>
    <brk id="178" max="18" man="1"/>
  </rowBreaks>
</worksheet>
</file>

<file path=xl/worksheets/sheet3.xml><?xml version="1.0" encoding="utf-8"?>
<worksheet xmlns="http://schemas.openxmlformats.org/spreadsheetml/2006/main" xmlns:r="http://schemas.openxmlformats.org/officeDocument/2006/relationships">
  <sheetPr>
    <tabColor theme="0"/>
    <pageSetUpPr fitToPage="1"/>
  </sheetPr>
  <dimension ref="A1:X299"/>
  <sheetViews>
    <sheetView showZeros="0" view="pageBreakPreview" zoomScale="55" zoomScaleNormal="65" zoomScaleSheetLayoutView="55" zoomScalePageLayoutView="0" workbookViewId="0" topLeftCell="A1">
      <selection activeCell="L190" sqref="L190"/>
    </sheetView>
  </sheetViews>
  <sheetFormatPr defaultColWidth="12.19921875" defaultRowHeight="15"/>
  <cols>
    <col min="1" max="1" width="35.69921875" style="123" customWidth="1"/>
    <col min="2" max="2" width="11.59765625" style="124" customWidth="1"/>
    <col min="3" max="3" width="11.69921875" style="15" customWidth="1"/>
    <col min="4" max="4" width="11.69921875" style="79" customWidth="1"/>
    <col min="5" max="5" width="11.3984375" style="79" customWidth="1"/>
    <col min="6" max="6" width="10.3984375" style="79" customWidth="1"/>
    <col min="7" max="7" width="13.8984375" style="79" customWidth="1"/>
    <col min="8" max="8" width="13.19921875" style="79" customWidth="1"/>
    <col min="9" max="9" width="11.69921875" style="229" hidden="1" customWidth="1"/>
    <col min="10" max="10" width="12.19921875" style="95" customWidth="1"/>
    <col min="11" max="11" width="11.69921875" style="229" hidden="1" customWidth="1"/>
    <col min="12" max="12" width="11.69921875" style="15" customWidth="1"/>
    <col min="13" max="13" width="13.59765625" style="15" customWidth="1"/>
    <col min="14" max="14" width="7.69921875" style="15" customWidth="1"/>
    <col min="15" max="15" width="11.69921875" style="15" customWidth="1"/>
    <col min="16" max="16" width="8.8984375" style="202" customWidth="1"/>
    <col min="17" max="17" width="10.69921875" style="15" customWidth="1"/>
    <col min="18" max="18" width="10.59765625" style="202" customWidth="1"/>
    <col min="19" max="19" width="36.19921875" style="15" customWidth="1"/>
    <col min="20" max="22" width="12.19921875" style="15" customWidth="1"/>
    <col min="23" max="23" width="12.19921875" style="142" customWidth="1"/>
    <col min="24" max="16384" width="12.19921875" style="15" customWidth="1"/>
  </cols>
  <sheetData>
    <row r="1" spans="16:23" ht="18.75">
      <c r="P1" s="125"/>
      <c r="R1" s="125"/>
      <c r="S1" s="15">
        <v>16</v>
      </c>
      <c r="W1" s="253"/>
    </row>
    <row r="2" spans="1:23" s="127" customFormat="1" ht="22.5">
      <c r="A2" s="793" t="s">
        <v>320</v>
      </c>
      <c r="B2" s="793"/>
      <c r="C2" s="793"/>
      <c r="D2" s="793"/>
      <c r="E2" s="793"/>
      <c r="F2" s="793"/>
      <c r="G2" s="793"/>
      <c r="H2" s="793"/>
      <c r="I2" s="793"/>
      <c r="J2" s="793"/>
      <c r="K2" s="793"/>
      <c r="L2" s="793"/>
      <c r="M2" s="793"/>
      <c r="N2" s="793"/>
      <c r="O2" s="793"/>
      <c r="P2" s="793"/>
      <c r="Q2" s="793"/>
      <c r="R2" s="793"/>
      <c r="W2" s="254"/>
    </row>
    <row r="3" spans="1:23" s="127" customFormat="1" ht="20.25">
      <c r="A3" s="129"/>
      <c r="B3" s="130"/>
      <c r="C3" s="21"/>
      <c r="D3" s="80"/>
      <c r="E3" s="96"/>
      <c r="F3" s="96"/>
      <c r="G3" s="80"/>
      <c r="H3" s="80"/>
      <c r="I3" s="230"/>
      <c r="J3" s="95"/>
      <c r="K3" s="237"/>
      <c r="L3" s="21"/>
      <c r="M3" s="794"/>
      <c r="N3" s="794"/>
      <c r="O3" s="794"/>
      <c r="P3" s="794"/>
      <c r="Q3" s="794"/>
      <c r="R3" s="794"/>
      <c r="W3" s="128"/>
    </row>
    <row r="4" spans="1:23" s="132" customFormat="1" ht="18.75" customHeight="1">
      <c r="A4" s="818" t="s">
        <v>61</v>
      </c>
      <c r="B4" s="820">
        <v>2016</v>
      </c>
      <c r="C4" s="821"/>
      <c r="D4" s="821"/>
      <c r="E4" s="821"/>
      <c r="F4" s="822"/>
      <c r="G4" s="820">
        <v>2017</v>
      </c>
      <c r="H4" s="821"/>
      <c r="I4" s="821"/>
      <c r="J4" s="821"/>
      <c r="K4" s="821"/>
      <c r="L4" s="821"/>
      <c r="M4" s="821"/>
      <c r="N4" s="821"/>
      <c r="O4" s="821"/>
      <c r="P4" s="821"/>
      <c r="Q4" s="821"/>
      <c r="R4" s="822"/>
      <c r="S4" s="131"/>
      <c r="W4" s="133"/>
    </row>
    <row r="5" spans="1:23" s="136" customFormat="1" ht="162.75" customHeight="1">
      <c r="A5" s="819"/>
      <c r="B5" s="20" t="s">
        <v>119</v>
      </c>
      <c r="C5" s="4" t="s">
        <v>120</v>
      </c>
      <c r="D5" s="20" t="s">
        <v>317</v>
      </c>
      <c r="E5" s="19" t="s">
        <v>318</v>
      </c>
      <c r="F5" s="97" t="s">
        <v>319</v>
      </c>
      <c r="G5" s="81" t="s">
        <v>310</v>
      </c>
      <c r="H5" s="81" t="s">
        <v>313</v>
      </c>
      <c r="I5" s="115" t="s">
        <v>141</v>
      </c>
      <c r="J5" s="81" t="s">
        <v>314</v>
      </c>
      <c r="K5" s="115" t="s">
        <v>62</v>
      </c>
      <c r="L5" s="4" t="s">
        <v>63</v>
      </c>
      <c r="M5" s="19" t="s">
        <v>316</v>
      </c>
      <c r="N5" s="19" t="s">
        <v>138</v>
      </c>
      <c r="O5" s="19" t="s">
        <v>139</v>
      </c>
      <c r="P5" s="19" t="s">
        <v>64</v>
      </c>
      <c r="Q5" s="19" t="s">
        <v>140</v>
      </c>
      <c r="R5" s="19" t="s">
        <v>267</v>
      </c>
      <c r="S5" s="134" t="s">
        <v>303</v>
      </c>
      <c r="T5" s="135"/>
      <c r="W5" s="137"/>
    </row>
    <row r="6" spans="1:23" s="136" customFormat="1" ht="15.75">
      <c r="A6" s="138">
        <v>1</v>
      </c>
      <c r="B6" s="139">
        <v>2</v>
      </c>
      <c r="C6" s="139">
        <v>3</v>
      </c>
      <c r="D6" s="139">
        <v>4</v>
      </c>
      <c r="E6" s="98">
        <v>5</v>
      </c>
      <c r="F6" s="98">
        <v>6</v>
      </c>
      <c r="G6" s="5">
        <v>7</v>
      </c>
      <c r="H6" s="5">
        <v>8</v>
      </c>
      <c r="I6" s="215">
        <v>9</v>
      </c>
      <c r="J6" s="5">
        <v>9</v>
      </c>
      <c r="K6" s="238">
        <v>11</v>
      </c>
      <c r="L6" s="5">
        <v>10</v>
      </c>
      <c r="M6" s="5">
        <v>11</v>
      </c>
      <c r="N6" s="99">
        <v>12</v>
      </c>
      <c r="O6" s="5">
        <v>13</v>
      </c>
      <c r="P6" s="139">
        <v>14</v>
      </c>
      <c r="Q6" s="139">
        <v>15</v>
      </c>
      <c r="R6" s="139">
        <v>16</v>
      </c>
      <c r="S6" s="140" t="s">
        <v>305</v>
      </c>
      <c r="T6" s="141">
        <f>11/12</f>
        <v>0.9166666666666666</v>
      </c>
      <c r="W6" s="137"/>
    </row>
    <row r="7" spans="1:20" ht="19.5">
      <c r="A7" s="816" t="s">
        <v>65</v>
      </c>
      <c r="B7" s="817"/>
      <c r="C7" s="817"/>
      <c r="D7" s="817"/>
      <c r="E7" s="817"/>
      <c r="F7" s="817"/>
      <c r="G7" s="817"/>
      <c r="H7" s="817"/>
      <c r="I7" s="817"/>
      <c r="J7" s="817"/>
      <c r="K7" s="817"/>
      <c r="L7" s="817"/>
      <c r="M7" s="817"/>
      <c r="N7" s="817"/>
      <c r="O7" s="817"/>
      <c r="P7" s="817"/>
      <c r="Q7" s="817"/>
      <c r="R7" s="795"/>
      <c r="S7" s="140" t="s">
        <v>306</v>
      </c>
      <c r="T7" s="141">
        <f>10/12</f>
        <v>0.8333333333333334</v>
      </c>
    </row>
    <row r="8" spans="1:23" s="143" customFormat="1" ht="21.75" customHeight="1">
      <c r="A8" s="46" t="s">
        <v>66</v>
      </c>
      <c r="B8" s="47">
        <v>10000000</v>
      </c>
      <c r="C8" s="6">
        <f>C9+C14+C23+C26+C19</f>
        <v>993675.1</v>
      </c>
      <c r="D8" s="6">
        <f>D9+D14+D23+D26+D19</f>
        <v>1240039.1</v>
      </c>
      <c r="E8" s="6">
        <f>L8-D8</f>
        <v>308536.7999999998</v>
      </c>
      <c r="F8" s="6">
        <f aca="true" t="shared" si="0" ref="F8:F69">L8/D8*100</f>
        <v>124.88121543909381</v>
      </c>
      <c r="G8" s="6">
        <f aca="true" t="shared" si="1" ref="G8:M8">G9+G14+G23+G26+G19</f>
        <v>1280317.65</v>
      </c>
      <c r="H8" s="6">
        <f t="shared" si="1"/>
        <v>1173624.5999999999</v>
      </c>
      <c r="I8" s="203">
        <f t="shared" si="1"/>
        <v>1173624.5999999999</v>
      </c>
      <c r="J8" s="6">
        <f t="shared" si="1"/>
        <v>734584</v>
      </c>
      <c r="K8" s="203">
        <f t="shared" si="1"/>
        <v>659054.8</v>
      </c>
      <c r="L8" s="6">
        <f t="shared" si="1"/>
        <v>1548575.9</v>
      </c>
      <c r="M8" s="6" t="e">
        <f t="shared" si="1"/>
        <v>#REF!</v>
      </c>
      <c r="N8" s="6">
        <f aca="true" t="shared" si="2" ref="N8:N47">L8/G8*100</f>
        <v>120.95247612965423</v>
      </c>
      <c r="O8" s="6">
        <f aca="true" t="shared" si="3" ref="O8:O47">L8/I8*100</f>
        <v>131.94814594036288</v>
      </c>
      <c r="P8" s="6">
        <f aca="true" t="shared" si="4" ref="P8:P47">L8/K8*100</f>
        <v>234.96921652038645</v>
      </c>
      <c r="Q8" s="6">
        <f aca="true" t="shared" si="5" ref="Q8:Q73">L8-I8</f>
        <v>374951.30000000005</v>
      </c>
      <c r="R8" s="6">
        <f aca="true" t="shared" si="6" ref="R8:R73">L8-K8</f>
        <v>889521.0999999999</v>
      </c>
      <c r="S8" s="140" t="s">
        <v>315</v>
      </c>
      <c r="T8" s="141">
        <f>22/264</f>
        <v>0.08333333333333333</v>
      </c>
      <c r="U8" s="89">
        <f>L8/G8*100-N8</f>
        <v>0</v>
      </c>
      <c r="V8" s="89">
        <f>L8/I8*100-O8</f>
        <v>0</v>
      </c>
      <c r="W8" s="90">
        <f>L8/K8*100-P8</f>
        <v>0</v>
      </c>
    </row>
    <row r="9" spans="1:24" s="143" customFormat="1" ht="52.5" customHeight="1">
      <c r="A9" s="46" t="s">
        <v>67</v>
      </c>
      <c r="B9" s="47">
        <v>11000000</v>
      </c>
      <c r="C9" s="6">
        <f>C10+C12</f>
        <v>610292</v>
      </c>
      <c r="D9" s="6">
        <f>D10+D12</f>
        <v>844789.9</v>
      </c>
      <c r="E9" s="6">
        <f>L9-D9</f>
        <v>198598.69999999995</v>
      </c>
      <c r="F9" s="6">
        <f t="shared" si="0"/>
        <v>123.50864990218278</v>
      </c>
      <c r="G9" s="6">
        <f aca="true" t="shared" si="7" ref="G9:M9">G10+G12</f>
        <v>825900.1</v>
      </c>
      <c r="H9" s="6">
        <f t="shared" si="7"/>
        <v>757075.1</v>
      </c>
      <c r="I9" s="203">
        <f t="shared" si="7"/>
        <v>757075.1</v>
      </c>
      <c r="J9" s="6">
        <f t="shared" si="7"/>
        <v>493965.80000000005</v>
      </c>
      <c r="K9" s="203">
        <f>K10+K12</f>
        <v>438269.7</v>
      </c>
      <c r="L9" s="6">
        <f t="shared" si="7"/>
        <v>1043388.6</v>
      </c>
      <c r="M9" s="6" t="e">
        <f t="shared" si="7"/>
        <v>#REF!</v>
      </c>
      <c r="N9" s="6">
        <f t="shared" si="2"/>
        <v>126.3335117649217</v>
      </c>
      <c r="O9" s="6">
        <f t="shared" si="3"/>
        <v>137.818374953819</v>
      </c>
      <c r="P9" s="6">
        <f t="shared" si="4"/>
        <v>238.06998293516526</v>
      </c>
      <c r="Q9" s="6">
        <f t="shared" si="5"/>
        <v>286313.5</v>
      </c>
      <c r="R9" s="6">
        <f t="shared" si="6"/>
        <v>605118.8999999999</v>
      </c>
      <c r="S9" s="88">
        <f>L9-I9-Q9</f>
        <v>0</v>
      </c>
      <c r="T9" s="240">
        <f>G9*6/12+G9*18/(21*12)</f>
        <v>471942.9142857143</v>
      </c>
      <c r="U9" s="89">
        <f aca="true" t="shared" si="8" ref="U9:U74">L9/G9*100-N9</f>
        <v>0</v>
      </c>
      <c r="V9" s="89">
        <f aca="true" t="shared" si="9" ref="V9:V74">L9/I9*100-O9</f>
        <v>0</v>
      </c>
      <c r="W9" s="248">
        <f>H9-I9</f>
        <v>0</v>
      </c>
      <c r="X9" s="89">
        <f>J9-K9</f>
        <v>55696.100000000035</v>
      </c>
    </row>
    <row r="10" spans="1:24" s="91" customFormat="1" ht="37.5" customHeight="1">
      <c r="A10" s="29" t="s">
        <v>153</v>
      </c>
      <c r="B10" s="27">
        <v>11010000</v>
      </c>
      <c r="C10" s="3">
        <v>610107.9</v>
      </c>
      <c r="D10" s="3">
        <v>844399</v>
      </c>
      <c r="E10" s="25">
        <f>L10-D10</f>
        <v>198763.19999999995</v>
      </c>
      <c r="F10" s="25">
        <f t="shared" si="0"/>
        <v>123.53901413905038</v>
      </c>
      <c r="G10" s="3">
        <f>800526.2+24809.8</f>
        <v>825336</v>
      </c>
      <c r="H10" s="3">
        <f>ROUND(G10*$T$6,1)</f>
        <v>756558</v>
      </c>
      <c r="I10" s="219">
        <f>ROUND((G10*$T$7+G10*$T$8),1)</f>
        <v>756558</v>
      </c>
      <c r="J10" s="3">
        <v>493689.9</v>
      </c>
      <c r="K10" s="216">
        <v>437993.8</v>
      </c>
      <c r="L10" s="3">
        <v>1043162.2</v>
      </c>
      <c r="M10" s="3" t="e">
        <f>L10-#REF!</f>
        <v>#REF!</v>
      </c>
      <c r="N10" s="25">
        <f t="shared" si="2"/>
        <v>126.39242684191649</v>
      </c>
      <c r="O10" s="25">
        <f t="shared" si="3"/>
        <v>137.8826474639089</v>
      </c>
      <c r="P10" s="25">
        <f t="shared" si="4"/>
        <v>238.16825717624312</v>
      </c>
      <c r="Q10" s="25">
        <f t="shared" si="5"/>
        <v>286604.19999999995</v>
      </c>
      <c r="R10" s="25">
        <f t="shared" si="6"/>
        <v>605168.3999999999</v>
      </c>
      <c r="S10" s="88">
        <f>L10/$L$66*100</f>
        <v>64.57884302612369</v>
      </c>
      <c r="T10" s="240">
        <f>G10*6/12+G10*18/(21*12)</f>
        <v>471620.5714285714</v>
      </c>
      <c r="U10" s="89">
        <f t="shared" si="8"/>
        <v>0</v>
      </c>
      <c r="V10" s="89">
        <f t="shared" si="9"/>
        <v>0</v>
      </c>
      <c r="W10" s="248">
        <f aca="true" t="shared" si="10" ref="W10:W73">H10-I10</f>
        <v>0</v>
      </c>
      <c r="X10" s="89">
        <f aca="true" t="shared" si="11" ref="X10:X73">J10-K10</f>
        <v>55696.100000000035</v>
      </c>
    </row>
    <row r="11" spans="1:24" s="92" customFormat="1" ht="42.75" customHeight="1" hidden="1">
      <c r="A11" s="59" t="s">
        <v>68</v>
      </c>
      <c r="B11" s="33">
        <v>11010600</v>
      </c>
      <c r="C11" s="8"/>
      <c r="D11" s="8"/>
      <c r="E11" s="25">
        <f>L11-D11</f>
        <v>0</v>
      </c>
      <c r="F11" s="14" t="e">
        <f t="shared" si="0"/>
        <v>#DIV/0!</v>
      </c>
      <c r="G11" s="8"/>
      <c r="H11" s="8"/>
      <c r="I11" s="217">
        <f>G11/12*8+G11/12*22/22</f>
        <v>0</v>
      </c>
      <c r="J11" s="8"/>
      <c r="K11" s="217"/>
      <c r="L11" s="8"/>
      <c r="M11" s="3" t="e">
        <f>L11-#REF!</f>
        <v>#REF!</v>
      </c>
      <c r="N11" s="34" t="e">
        <f t="shared" si="2"/>
        <v>#DIV/0!</v>
      </c>
      <c r="O11" s="14" t="e">
        <f t="shared" si="3"/>
        <v>#DIV/0!</v>
      </c>
      <c r="P11" s="34" t="e">
        <f t="shared" si="4"/>
        <v>#DIV/0!</v>
      </c>
      <c r="Q11" s="25">
        <f t="shared" si="5"/>
        <v>0</v>
      </c>
      <c r="R11" s="25">
        <f t="shared" si="6"/>
        <v>0</v>
      </c>
      <c r="S11" s="88">
        <f aca="true" t="shared" si="12" ref="S11:S66">L11/$L$66*100</f>
        <v>0</v>
      </c>
      <c r="T11" s="240">
        <f>G11*6/12+G11*18/(21*12)</f>
        <v>0</v>
      </c>
      <c r="U11" s="89" t="e">
        <f t="shared" si="8"/>
        <v>#DIV/0!</v>
      </c>
      <c r="V11" s="89" t="e">
        <f t="shared" si="9"/>
        <v>#DIV/0!</v>
      </c>
      <c r="W11" s="248">
        <f t="shared" si="10"/>
        <v>0</v>
      </c>
      <c r="X11" s="89">
        <f t="shared" si="11"/>
        <v>0</v>
      </c>
    </row>
    <row r="12" spans="1:24" s="92" customFormat="1" ht="34.5" customHeight="1">
      <c r="A12" s="26" t="s">
        <v>293</v>
      </c>
      <c r="B12" s="27">
        <v>11020000</v>
      </c>
      <c r="C12" s="3">
        <f>C13</f>
        <v>184.1</v>
      </c>
      <c r="D12" s="3">
        <f>D13</f>
        <v>390.9</v>
      </c>
      <c r="E12" s="25">
        <f>E13</f>
        <v>-164.49999999999997</v>
      </c>
      <c r="F12" s="25">
        <f t="shared" si="0"/>
        <v>57.917625991302124</v>
      </c>
      <c r="G12" s="3">
        <f aca="true" t="shared" si="13" ref="G12:M12">G13</f>
        <v>564.1</v>
      </c>
      <c r="H12" s="3">
        <f t="shared" si="13"/>
        <v>517.1</v>
      </c>
      <c r="I12" s="216">
        <f t="shared" si="13"/>
        <v>517.1</v>
      </c>
      <c r="J12" s="3">
        <f t="shared" si="13"/>
        <v>275.9</v>
      </c>
      <c r="K12" s="216">
        <f t="shared" si="13"/>
        <v>275.9</v>
      </c>
      <c r="L12" s="3">
        <f t="shared" si="13"/>
        <v>226.4</v>
      </c>
      <c r="M12" s="3" t="e">
        <f t="shared" si="13"/>
        <v>#REF!</v>
      </c>
      <c r="N12" s="3">
        <f t="shared" si="2"/>
        <v>40.13472788512675</v>
      </c>
      <c r="O12" s="25">
        <f t="shared" si="3"/>
        <v>43.782633919938114</v>
      </c>
      <c r="P12" s="3">
        <f t="shared" si="4"/>
        <v>82.05871692642262</v>
      </c>
      <c r="Q12" s="25">
        <f t="shared" si="5"/>
        <v>-290.70000000000005</v>
      </c>
      <c r="R12" s="25">
        <f t="shared" si="6"/>
        <v>-49.49999999999997</v>
      </c>
      <c r="S12" s="88">
        <f t="shared" si="12"/>
        <v>0.014015701547769276</v>
      </c>
      <c r="T12" s="240">
        <f>G12*6/12+G12*18/(21*12)</f>
        <v>322.34285714285716</v>
      </c>
      <c r="U12" s="89">
        <f t="shared" si="8"/>
        <v>0</v>
      </c>
      <c r="V12" s="89">
        <f t="shared" si="9"/>
        <v>0</v>
      </c>
      <c r="W12" s="248">
        <f t="shared" si="10"/>
        <v>0</v>
      </c>
      <c r="X12" s="89">
        <f t="shared" si="11"/>
        <v>0</v>
      </c>
    </row>
    <row r="13" spans="1:24" s="145" customFormat="1" ht="53.25" customHeight="1">
      <c r="A13" s="144" t="s">
        <v>69</v>
      </c>
      <c r="B13" s="33">
        <v>11020201</v>
      </c>
      <c r="C13" s="8">
        <v>184.1</v>
      </c>
      <c r="D13" s="8">
        <v>390.9</v>
      </c>
      <c r="E13" s="25">
        <f aca="true" t="shared" si="14" ref="E13:E78">L13-D13</f>
        <v>-164.49999999999997</v>
      </c>
      <c r="F13" s="25">
        <f t="shared" si="0"/>
        <v>57.917625991302124</v>
      </c>
      <c r="G13" s="8">
        <v>564.1</v>
      </c>
      <c r="H13" s="3">
        <f>ROUND(G13*$T$6,1)</f>
        <v>517.1</v>
      </c>
      <c r="I13" s="216">
        <f>ROUND((G13*$T$7+G13*$T$8),1)</f>
        <v>517.1</v>
      </c>
      <c r="J13" s="8">
        <v>275.9</v>
      </c>
      <c r="K13" s="217">
        <v>275.9</v>
      </c>
      <c r="L13" s="8">
        <v>226.4</v>
      </c>
      <c r="M13" s="3" t="e">
        <f>L13-#REF!</f>
        <v>#REF!</v>
      </c>
      <c r="N13" s="36">
        <f t="shared" si="2"/>
        <v>40.13472788512675</v>
      </c>
      <c r="O13" s="25">
        <f t="shared" si="3"/>
        <v>43.782633919938114</v>
      </c>
      <c r="P13" s="36">
        <f t="shared" si="4"/>
        <v>82.05871692642262</v>
      </c>
      <c r="Q13" s="25">
        <f t="shared" si="5"/>
        <v>-290.70000000000005</v>
      </c>
      <c r="R13" s="25">
        <f t="shared" si="6"/>
        <v>-49.49999999999997</v>
      </c>
      <c r="S13" s="88">
        <f t="shared" si="12"/>
        <v>0.014015701547769276</v>
      </c>
      <c r="T13" s="240">
        <f>G13*6/12+G13*18/(21*12)</f>
        <v>322.34285714285716</v>
      </c>
      <c r="U13" s="89">
        <f t="shared" si="8"/>
        <v>0</v>
      </c>
      <c r="V13" s="89">
        <f t="shared" si="9"/>
        <v>0</v>
      </c>
      <c r="W13" s="248">
        <f t="shared" si="10"/>
        <v>0</v>
      </c>
      <c r="X13" s="89">
        <f t="shared" si="11"/>
        <v>0</v>
      </c>
    </row>
    <row r="14" spans="1:24" s="147" customFormat="1" ht="50.25" customHeight="1">
      <c r="A14" s="146" t="s">
        <v>123</v>
      </c>
      <c r="B14" s="43">
        <v>13000000</v>
      </c>
      <c r="C14" s="9">
        <f>C15+C18</f>
        <v>104.1</v>
      </c>
      <c r="D14" s="9">
        <f>D15+D18</f>
        <v>125.5</v>
      </c>
      <c r="E14" s="6">
        <f t="shared" si="14"/>
        <v>63.099999999999994</v>
      </c>
      <c r="F14" s="6">
        <f>L14/D14*100</f>
        <v>150.27888446215138</v>
      </c>
      <c r="G14" s="9">
        <f>G15+G18</f>
        <v>199.7</v>
      </c>
      <c r="H14" s="9">
        <f>H15+H18</f>
        <v>183.10000000000002</v>
      </c>
      <c r="I14" s="205">
        <f>I15+I18</f>
        <v>183.10000000000002</v>
      </c>
      <c r="J14" s="9">
        <f>J15+J18</f>
        <v>19.6</v>
      </c>
      <c r="K14" s="205">
        <f>K15+K18</f>
        <v>19.6</v>
      </c>
      <c r="L14" s="9">
        <f>L15+L18+L16</f>
        <v>188.6</v>
      </c>
      <c r="M14" s="9" t="e">
        <f>M15+M18+M16</f>
        <v>#REF!</v>
      </c>
      <c r="N14" s="9">
        <f t="shared" si="2"/>
        <v>94.44166249374061</v>
      </c>
      <c r="O14" s="6">
        <f t="shared" si="3"/>
        <v>103.00382304751501</v>
      </c>
      <c r="P14" s="9">
        <f t="shared" si="4"/>
        <v>962.2448979591835</v>
      </c>
      <c r="Q14" s="6">
        <f t="shared" si="5"/>
        <v>5.499999999999972</v>
      </c>
      <c r="R14" s="6">
        <f t="shared" si="6"/>
        <v>169</v>
      </c>
      <c r="S14" s="88">
        <f t="shared" si="12"/>
        <v>0.011675624169210625</v>
      </c>
      <c r="T14" s="89">
        <f aca="true" t="shared" si="15" ref="T14:T77">L14-K14-R14</f>
        <v>0</v>
      </c>
      <c r="U14" s="89">
        <f t="shared" si="8"/>
        <v>0</v>
      </c>
      <c r="V14" s="89">
        <f t="shared" si="9"/>
        <v>0</v>
      </c>
      <c r="W14" s="248">
        <f t="shared" si="10"/>
        <v>0</v>
      </c>
      <c r="X14" s="89">
        <f t="shared" si="11"/>
        <v>0</v>
      </c>
    </row>
    <row r="15" spans="1:24" s="148" customFormat="1" ht="89.25" customHeight="1">
      <c r="A15" s="56" t="s">
        <v>124</v>
      </c>
      <c r="B15" s="30">
        <v>13010200</v>
      </c>
      <c r="C15" s="3">
        <v>54.7</v>
      </c>
      <c r="D15" s="3">
        <v>92.7</v>
      </c>
      <c r="E15" s="25">
        <f t="shared" si="14"/>
        <v>71.7</v>
      </c>
      <c r="F15" s="25">
        <f t="shared" si="0"/>
        <v>177.3462783171521</v>
      </c>
      <c r="G15" s="3">
        <v>98.6</v>
      </c>
      <c r="H15" s="3">
        <f>ROUND(G15*$T$6,1)</f>
        <v>90.4</v>
      </c>
      <c r="I15" s="219">
        <f>ROUND((G15*$T$7+G15*$T$8),1)</f>
        <v>90.4</v>
      </c>
      <c r="J15" s="3">
        <v>14</v>
      </c>
      <c r="K15" s="216">
        <v>14</v>
      </c>
      <c r="L15" s="3">
        <v>164.4</v>
      </c>
      <c r="M15" s="3" t="e">
        <f>L15-#REF!</f>
        <v>#REF!</v>
      </c>
      <c r="N15" s="3">
        <f t="shared" si="2"/>
        <v>166.7342799188641</v>
      </c>
      <c r="O15" s="3">
        <f t="shared" si="3"/>
        <v>181.858407079646</v>
      </c>
      <c r="P15" s="3">
        <f t="shared" si="4"/>
        <v>1174.2857142857144</v>
      </c>
      <c r="Q15" s="25">
        <f t="shared" si="5"/>
        <v>74</v>
      </c>
      <c r="R15" s="25">
        <f t="shared" si="6"/>
        <v>150.4</v>
      </c>
      <c r="S15" s="88">
        <f t="shared" si="12"/>
        <v>0.010177479392461436</v>
      </c>
      <c r="T15" s="89">
        <f t="shared" si="15"/>
        <v>0</v>
      </c>
      <c r="U15" s="89">
        <f t="shared" si="8"/>
        <v>0</v>
      </c>
      <c r="V15" s="89">
        <f t="shared" si="9"/>
        <v>0</v>
      </c>
      <c r="W15" s="248">
        <f t="shared" si="10"/>
        <v>0</v>
      </c>
      <c r="X15" s="89">
        <f t="shared" si="11"/>
        <v>0</v>
      </c>
    </row>
    <row r="16" spans="1:24" s="147" customFormat="1" ht="45" hidden="1">
      <c r="A16" s="56" t="s">
        <v>145</v>
      </c>
      <c r="B16" s="30">
        <v>13020400</v>
      </c>
      <c r="C16" s="3"/>
      <c r="D16" s="3"/>
      <c r="E16" s="25">
        <f t="shared" si="14"/>
        <v>0</v>
      </c>
      <c r="F16" s="110" t="e">
        <f t="shared" si="0"/>
        <v>#DIV/0!</v>
      </c>
      <c r="G16" s="9"/>
      <c r="H16" s="9"/>
      <c r="I16" s="205"/>
      <c r="J16" s="9"/>
      <c r="K16" s="205"/>
      <c r="L16" s="3"/>
      <c r="M16" s="3" t="e">
        <f>L16-#REF!</f>
        <v>#REF!</v>
      </c>
      <c r="N16" s="3"/>
      <c r="O16" s="3"/>
      <c r="P16" s="3"/>
      <c r="Q16" s="25">
        <f t="shared" si="5"/>
        <v>0</v>
      </c>
      <c r="R16" s="25">
        <f t="shared" si="6"/>
        <v>0</v>
      </c>
      <c r="S16" s="88">
        <f t="shared" si="12"/>
        <v>0</v>
      </c>
      <c r="T16" s="89">
        <f t="shared" si="15"/>
        <v>0</v>
      </c>
      <c r="U16" s="89" t="e">
        <f t="shared" si="8"/>
        <v>#DIV/0!</v>
      </c>
      <c r="V16" s="89" t="e">
        <f t="shared" si="9"/>
        <v>#DIV/0!</v>
      </c>
      <c r="W16" s="248">
        <f t="shared" si="10"/>
        <v>0</v>
      </c>
      <c r="X16" s="89">
        <f t="shared" si="11"/>
        <v>0</v>
      </c>
    </row>
    <row r="17" spans="1:24" s="91" customFormat="1" ht="34.5" customHeight="1">
      <c r="A17" s="58" t="s">
        <v>125</v>
      </c>
      <c r="B17" s="27">
        <v>13030000</v>
      </c>
      <c r="C17" s="3">
        <f>C18</f>
        <v>49.4</v>
      </c>
      <c r="D17" s="3">
        <f>D18</f>
        <v>32.8</v>
      </c>
      <c r="E17" s="25">
        <f t="shared" si="14"/>
        <v>-8.599999999999998</v>
      </c>
      <c r="F17" s="25">
        <f t="shared" si="0"/>
        <v>73.78048780487805</v>
      </c>
      <c r="G17" s="3">
        <f aca="true" t="shared" si="16" ref="G17:M17">G18</f>
        <v>101.1</v>
      </c>
      <c r="H17" s="3">
        <f t="shared" si="16"/>
        <v>92.7</v>
      </c>
      <c r="I17" s="216">
        <f t="shared" si="16"/>
        <v>92.7</v>
      </c>
      <c r="J17" s="3">
        <f t="shared" si="16"/>
        <v>5.6</v>
      </c>
      <c r="K17" s="216">
        <f t="shared" si="16"/>
        <v>5.6</v>
      </c>
      <c r="L17" s="3">
        <f t="shared" si="16"/>
        <v>24.2</v>
      </c>
      <c r="M17" s="3" t="e">
        <f t="shared" si="16"/>
        <v>#REF!</v>
      </c>
      <c r="N17" s="25">
        <f t="shared" si="2"/>
        <v>23.93669634025717</v>
      </c>
      <c r="O17" s="25">
        <f t="shared" si="3"/>
        <v>26.105717367853288</v>
      </c>
      <c r="P17" s="25">
        <f t="shared" si="4"/>
        <v>432.1428571428571</v>
      </c>
      <c r="Q17" s="25">
        <f t="shared" si="5"/>
        <v>-68.5</v>
      </c>
      <c r="R17" s="25">
        <f t="shared" si="6"/>
        <v>18.6</v>
      </c>
      <c r="S17" s="88">
        <f t="shared" si="12"/>
        <v>0.0014981447767491896</v>
      </c>
      <c r="T17" s="89">
        <f t="shared" si="15"/>
        <v>0</v>
      </c>
      <c r="U17" s="89">
        <f t="shared" si="8"/>
        <v>0</v>
      </c>
      <c r="V17" s="89">
        <f t="shared" si="9"/>
        <v>0</v>
      </c>
      <c r="W17" s="248">
        <f t="shared" si="10"/>
        <v>0</v>
      </c>
      <c r="X17" s="89">
        <f t="shared" si="11"/>
        <v>0</v>
      </c>
    </row>
    <row r="18" spans="1:24" s="145" customFormat="1" ht="57.75" customHeight="1">
      <c r="A18" s="144" t="s">
        <v>126</v>
      </c>
      <c r="B18" s="33">
        <v>13030200</v>
      </c>
      <c r="C18" s="8">
        <v>49.4</v>
      </c>
      <c r="D18" s="8">
        <v>32.8</v>
      </c>
      <c r="E18" s="36">
        <f t="shared" si="14"/>
        <v>-8.599999999999998</v>
      </c>
      <c r="F18" s="36">
        <f t="shared" si="0"/>
        <v>73.78048780487805</v>
      </c>
      <c r="G18" s="8">
        <v>101.1</v>
      </c>
      <c r="H18" s="3">
        <f>ROUND(G18*$T$6,1)</f>
        <v>92.7</v>
      </c>
      <c r="I18" s="219">
        <f>ROUND((G18*$T$7+G18*$T$8),1)</f>
        <v>92.7</v>
      </c>
      <c r="J18" s="8">
        <v>5.6</v>
      </c>
      <c r="K18" s="217">
        <v>5.6</v>
      </c>
      <c r="L18" s="8">
        <v>24.2</v>
      </c>
      <c r="M18" s="3" t="e">
        <f>L18-#REF!</f>
        <v>#REF!</v>
      </c>
      <c r="N18" s="36">
        <f t="shared" si="2"/>
        <v>23.93669634025717</v>
      </c>
      <c r="O18" s="36">
        <f t="shared" si="3"/>
        <v>26.105717367853288</v>
      </c>
      <c r="P18" s="36">
        <f t="shared" si="4"/>
        <v>432.1428571428571</v>
      </c>
      <c r="Q18" s="36">
        <f t="shared" si="5"/>
        <v>-68.5</v>
      </c>
      <c r="R18" s="36">
        <f t="shared" si="6"/>
        <v>18.6</v>
      </c>
      <c r="S18" s="88">
        <f t="shared" si="12"/>
        <v>0.0014981447767491896</v>
      </c>
      <c r="T18" s="89">
        <f t="shared" si="15"/>
        <v>0</v>
      </c>
      <c r="U18" s="89">
        <f t="shared" si="8"/>
        <v>0</v>
      </c>
      <c r="V18" s="89">
        <f t="shared" si="9"/>
        <v>0</v>
      </c>
      <c r="W18" s="248">
        <f t="shared" si="10"/>
        <v>0</v>
      </c>
      <c r="X18" s="89">
        <f t="shared" si="11"/>
        <v>0</v>
      </c>
    </row>
    <row r="19" spans="1:24" s="150" customFormat="1" ht="30.75" customHeight="1">
      <c r="A19" s="149" t="s">
        <v>130</v>
      </c>
      <c r="B19" s="55">
        <v>14000000</v>
      </c>
      <c r="C19" s="9">
        <f>C22+C20+C21</f>
        <v>107653.9</v>
      </c>
      <c r="D19" s="9">
        <f>D22+D20+D21</f>
        <v>71763.6</v>
      </c>
      <c r="E19" s="6">
        <f t="shared" si="14"/>
        <v>66078.4</v>
      </c>
      <c r="F19" s="6">
        <f t="shared" si="0"/>
        <v>192.07787792139746</v>
      </c>
      <c r="G19" s="9">
        <f aca="true" t="shared" si="17" ref="G19:M19">G22+G20+G21</f>
        <v>136672.25</v>
      </c>
      <c r="H19" s="9">
        <f t="shared" si="17"/>
        <v>125282.9</v>
      </c>
      <c r="I19" s="205">
        <f t="shared" si="17"/>
        <v>125282.9</v>
      </c>
      <c r="J19" s="9">
        <f t="shared" si="17"/>
        <v>66536.1</v>
      </c>
      <c r="K19" s="205">
        <f t="shared" si="17"/>
        <v>58844.5</v>
      </c>
      <c r="L19" s="9">
        <f t="shared" si="17"/>
        <v>137842</v>
      </c>
      <c r="M19" s="9" t="e">
        <f t="shared" si="17"/>
        <v>#REF!</v>
      </c>
      <c r="N19" s="6">
        <f t="shared" si="2"/>
        <v>100.85587966833063</v>
      </c>
      <c r="O19" s="6">
        <f t="shared" si="3"/>
        <v>110.02459234261022</v>
      </c>
      <c r="P19" s="6">
        <f t="shared" si="4"/>
        <v>234.2478906269915</v>
      </c>
      <c r="Q19" s="6">
        <f t="shared" si="5"/>
        <v>12559.100000000006</v>
      </c>
      <c r="R19" s="6">
        <f t="shared" si="6"/>
        <v>78997.5</v>
      </c>
      <c r="S19" s="88">
        <f t="shared" si="12"/>
        <v>8.533358360192636</v>
      </c>
      <c r="T19" s="89">
        <f t="shared" si="15"/>
        <v>0</v>
      </c>
      <c r="U19" s="89">
        <f t="shared" si="8"/>
        <v>0</v>
      </c>
      <c r="V19" s="89">
        <f t="shared" si="9"/>
        <v>0</v>
      </c>
      <c r="W19" s="248">
        <f t="shared" si="10"/>
        <v>0</v>
      </c>
      <c r="X19" s="89">
        <f t="shared" si="11"/>
        <v>7691.600000000006</v>
      </c>
    </row>
    <row r="20" spans="1:24" s="152" customFormat="1" ht="30.75" customHeight="1">
      <c r="A20" s="26" t="s">
        <v>288</v>
      </c>
      <c r="B20" s="30">
        <v>14021900</v>
      </c>
      <c r="C20" s="3"/>
      <c r="D20" s="3"/>
      <c r="E20" s="25">
        <f>L20-D20</f>
        <v>12344.4</v>
      </c>
      <c r="F20" s="14" t="e">
        <f>L20/D20*100</f>
        <v>#DIV/0!</v>
      </c>
      <c r="G20" s="3">
        <v>27936.2</v>
      </c>
      <c r="H20" s="3">
        <f>ROUND(G20*$T$6,1)</f>
        <v>25608.2</v>
      </c>
      <c r="I20" s="219">
        <f>ROUND((G20*$T$7+G20*$T$8),1)</f>
        <v>25608.2</v>
      </c>
      <c r="J20" s="3">
        <v>5392.7</v>
      </c>
      <c r="K20" s="216">
        <v>4985.6</v>
      </c>
      <c r="L20" s="3">
        <v>12344.4</v>
      </c>
      <c r="M20" s="3" t="e">
        <f>L20-#REF!</f>
        <v>#REF!</v>
      </c>
      <c r="N20" s="25">
        <f t="shared" si="2"/>
        <v>44.1878279794675</v>
      </c>
      <c r="O20" s="25">
        <f>L20/I20*100</f>
        <v>48.2048718769769</v>
      </c>
      <c r="P20" s="25">
        <f>L20/K20*100</f>
        <v>247.60109114249036</v>
      </c>
      <c r="Q20" s="25">
        <f>L20-I20</f>
        <v>-13263.800000000001</v>
      </c>
      <c r="R20" s="25">
        <f>L20-K20</f>
        <v>7358.799999999999</v>
      </c>
      <c r="S20" s="151"/>
      <c r="T20" s="18"/>
      <c r="U20" s="18"/>
      <c r="V20" s="18"/>
      <c r="W20" s="248">
        <f t="shared" si="10"/>
        <v>0</v>
      </c>
      <c r="X20" s="89">
        <f t="shared" si="11"/>
        <v>407.09999999999945</v>
      </c>
    </row>
    <row r="21" spans="1:24" s="152" customFormat="1" ht="48" customHeight="1">
      <c r="A21" s="26" t="s">
        <v>289</v>
      </c>
      <c r="B21" s="30">
        <v>14031900</v>
      </c>
      <c r="C21" s="3"/>
      <c r="D21" s="3"/>
      <c r="E21" s="25">
        <f>L21-D21</f>
        <v>50762.6</v>
      </c>
      <c r="F21" s="14" t="e">
        <f>L21/D21*100</f>
        <v>#DIV/0!</v>
      </c>
      <c r="G21" s="3">
        <f>27936.15+7295.2</f>
        <v>35231.35</v>
      </c>
      <c r="H21" s="3">
        <f>ROUND(G21*$T$6,1)</f>
        <v>32295.4</v>
      </c>
      <c r="I21" s="219">
        <f>ROUND((G21*$T$7+G21*$T$8),1)</f>
        <v>32295.4</v>
      </c>
      <c r="J21" s="3">
        <v>21269.2</v>
      </c>
      <c r="K21" s="216">
        <v>19233.9</v>
      </c>
      <c r="L21" s="3">
        <v>50762.6</v>
      </c>
      <c r="M21" s="3" t="e">
        <f>L21-#REF!</f>
        <v>#REF!</v>
      </c>
      <c r="N21" s="25">
        <f t="shared" si="2"/>
        <v>144.08360735538093</v>
      </c>
      <c r="O21" s="25">
        <f>L21/I21*100</f>
        <v>157.18213739417996</v>
      </c>
      <c r="P21" s="25">
        <f>L21/K21*100</f>
        <v>263.9225534083051</v>
      </c>
      <c r="Q21" s="25">
        <f>L21-I21</f>
        <v>18467.199999999997</v>
      </c>
      <c r="R21" s="25">
        <f>L21-K21</f>
        <v>31528.699999999997</v>
      </c>
      <c r="S21" s="151"/>
      <c r="T21" s="18"/>
      <c r="U21" s="18"/>
      <c r="V21" s="18"/>
      <c r="W21" s="248">
        <f t="shared" si="10"/>
        <v>0</v>
      </c>
      <c r="X21" s="89">
        <f t="shared" si="11"/>
        <v>2035.2999999999993</v>
      </c>
    </row>
    <row r="22" spans="1:24" s="91" customFormat="1" ht="51" customHeight="1">
      <c r="A22" s="58" t="s">
        <v>131</v>
      </c>
      <c r="B22" s="27">
        <v>14040000</v>
      </c>
      <c r="C22" s="3">
        <v>107653.9</v>
      </c>
      <c r="D22" s="3">
        <v>71763.6</v>
      </c>
      <c r="E22" s="25">
        <f t="shared" si="14"/>
        <v>2971.399999999994</v>
      </c>
      <c r="F22" s="25">
        <f t="shared" si="0"/>
        <v>104.14053921486659</v>
      </c>
      <c r="G22" s="3">
        <f>130800-50000-7295.3</f>
        <v>73504.7</v>
      </c>
      <c r="H22" s="3">
        <f>ROUND(G22*$T$6,1)</f>
        <v>67379.3</v>
      </c>
      <c r="I22" s="219">
        <f>ROUND((G22*$T$7+G22*$T$8),1)</f>
        <v>67379.3</v>
      </c>
      <c r="J22" s="3">
        <v>39874.200000000004</v>
      </c>
      <c r="K22" s="216">
        <v>34625</v>
      </c>
      <c r="L22" s="3">
        <v>74735</v>
      </c>
      <c r="M22" s="3" t="e">
        <f>L22-#REF!</f>
        <v>#REF!</v>
      </c>
      <c r="N22" s="25">
        <f t="shared" si="2"/>
        <v>101.67377052079662</v>
      </c>
      <c r="O22" s="25">
        <f t="shared" si="3"/>
        <v>110.91685428610865</v>
      </c>
      <c r="P22" s="25">
        <f t="shared" si="4"/>
        <v>215.84115523465704</v>
      </c>
      <c r="Q22" s="25">
        <f t="shared" si="5"/>
        <v>7355.699999999997</v>
      </c>
      <c r="R22" s="25">
        <f t="shared" si="6"/>
        <v>40110</v>
      </c>
      <c r="S22" s="88">
        <f t="shared" si="12"/>
        <v>4.626605367369862</v>
      </c>
      <c r="T22" s="89">
        <f t="shared" si="15"/>
        <v>0</v>
      </c>
      <c r="U22" s="89">
        <f t="shared" si="8"/>
        <v>0</v>
      </c>
      <c r="V22" s="89">
        <f t="shared" si="9"/>
        <v>0</v>
      </c>
      <c r="W22" s="248">
        <f t="shared" si="10"/>
        <v>0</v>
      </c>
      <c r="X22" s="89">
        <f t="shared" si="11"/>
        <v>5249.200000000004</v>
      </c>
    </row>
    <row r="23" spans="1:24" s="147" customFormat="1" ht="35.25" customHeight="1">
      <c r="A23" s="153" t="s">
        <v>70</v>
      </c>
      <c r="B23" s="55">
        <v>16010000</v>
      </c>
      <c r="C23" s="3"/>
      <c r="D23" s="3" t="s">
        <v>184</v>
      </c>
      <c r="E23" s="25">
        <f t="shared" si="14"/>
        <v>0</v>
      </c>
      <c r="F23" s="14" t="e">
        <f t="shared" si="0"/>
        <v>#DIV/0!</v>
      </c>
      <c r="G23" s="9"/>
      <c r="H23" s="9">
        <f>G23/12*3</f>
        <v>0</v>
      </c>
      <c r="I23" s="205">
        <f>G23*$T$7+G23*$T$8</f>
        <v>0</v>
      </c>
      <c r="J23" s="9"/>
      <c r="K23" s="205"/>
      <c r="L23" s="9"/>
      <c r="M23" s="3"/>
      <c r="N23" s="50" t="e">
        <f t="shared" si="2"/>
        <v>#DIV/0!</v>
      </c>
      <c r="O23" s="50" t="e">
        <f t="shared" si="3"/>
        <v>#DIV/0!</v>
      </c>
      <c r="P23" s="50" t="e">
        <f t="shared" si="4"/>
        <v>#DIV/0!</v>
      </c>
      <c r="Q23" s="6">
        <f t="shared" si="5"/>
        <v>0</v>
      </c>
      <c r="R23" s="6">
        <f t="shared" si="6"/>
        <v>0</v>
      </c>
      <c r="S23" s="88">
        <f t="shared" si="12"/>
        <v>0</v>
      </c>
      <c r="T23" s="89">
        <f t="shared" si="15"/>
        <v>0</v>
      </c>
      <c r="U23" s="89" t="e">
        <f t="shared" si="8"/>
        <v>#DIV/0!</v>
      </c>
      <c r="V23" s="89" t="e">
        <f t="shared" si="9"/>
        <v>#DIV/0!</v>
      </c>
      <c r="W23" s="248">
        <f t="shared" si="10"/>
        <v>0</v>
      </c>
      <c r="X23" s="89">
        <f t="shared" si="11"/>
        <v>0</v>
      </c>
    </row>
    <row r="24" spans="1:24" s="92" customFormat="1" ht="42.75" customHeight="1" hidden="1">
      <c r="A24" s="154" t="s">
        <v>71</v>
      </c>
      <c r="B24" s="33">
        <v>16010400</v>
      </c>
      <c r="C24" s="3"/>
      <c r="D24" s="3"/>
      <c r="E24" s="6">
        <f t="shared" si="14"/>
        <v>0</v>
      </c>
      <c r="F24" s="6" t="e">
        <f t="shared" si="0"/>
        <v>#DIV/0!</v>
      </c>
      <c r="G24" s="3"/>
      <c r="H24" s="3"/>
      <c r="I24" s="216"/>
      <c r="J24" s="3"/>
      <c r="K24" s="216"/>
      <c r="L24" s="3"/>
      <c r="M24" s="3"/>
      <c r="N24" s="25" t="e">
        <f t="shared" si="2"/>
        <v>#DIV/0!</v>
      </c>
      <c r="O24" s="6" t="e">
        <f t="shared" si="3"/>
        <v>#DIV/0!</v>
      </c>
      <c r="P24" s="25" t="e">
        <f t="shared" si="4"/>
        <v>#DIV/0!</v>
      </c>
      <c r="Q24" s="6">
        <f t="shared" si="5"/>
        <v>0</v>
      </c>
      <c r="R24" s="6">
        <f t="shared" si="6"/>
        <v>0</v>
      </c>
      <c r="S24" s="88">
        <f t="shared" si="12"/>
        <v>0</v>
      </c>
      <c r="T24" s="89">
        <f t="shared" si="15"/>
        <v>0</v>
      </c>
      <c r="U24" s="89" t="e">
        <f t="shared" si="8"/>
        <v>#DIV/0!</v>
      </c>
      <c r="V24" s="89" t="e">
        <f t="shared" si="9"/>
        <v>#DIV/0!</v>
      </c>
      <c r="W24" s="248">
        <f t="shared" si="10"/>
        <v>0</v>
      </c>
      <c r="X24" s="89">
        <f t="shared" si="11"/>
        <v>0</v>
      </c>
    </row>
    <row r="25" spans="1:24" s="155" customFormat="1" ht="42.75" customHeight="1" hidden="1">
      <c r="A25" s="29" t="s">
        <v>72</v>
      </c>
      <c r="B25" s="30">
        <v>14060100</v>
      </c>
      <c r="C25" s="8">
        <v>0</v>
      </c>
      <c r="D25" s="3"/>
      <c r="E25" s="6">
        <f t="shared" si="14"/>
        <v>0</v>
      </c>
      <c r="F25" s="6" t="e">
        <f t="shared" si="0"/>
        <v>#DIV/0!</v>
      </c>
      <c r="G25" s="8"/>
      <c r="H25" s="8">
        <f>G25/12*7</f>
        <v>0</v>
      </c>
      <c r="I25" s="217"/>
      <c r="J25" s="8"/>
      <c r="K25" s="217"/>
      <c r="L25" s="8">
        <f>K25*19/19</f>
        <v>0</v>
      </c>
      <c r="M25" s="3"/>
      <c r="N25" s="36" t="e">
        <f t="shared" si="2"/>
        <v>#DIV/0!</v>
      </c>
      <c r="O25" s="6" t="e">
        <f t="shared" si="3"/>
        <v>#DIV/0!</v>
      </c>
      <c r="P25" s="36" t="e">
        <f t="shared" si="4"/>
        <v>#DIV/0!</v>
      </c>
      <c r="Q25" s="6">
        <f t="shared" si="5"/>
        <v>0</v>
      </c>
      <c r="R25" s="6">
        <f t="shared" si="6"/>
        <v>0</v>
      </c>
      <c r="S25" s="88">
        <f t="shared" si="12"/>
        <v>0</v>
      </c>
      <c r="T25" s="89">
        <f t="shared" si="15"/>
        <v>0</v>
      </c>
      <c r="U25" s="89" t="e">
        <f t="shared" si="8"/>
        <v>#DIV/0!</v>
      </c>
      <c r="V25" s="89" t="e">
        <f t="shared" si="9"/>
        <v>#DIV/0!</v>
      </c>
      <c r="W25" s="248">
        <f t="shared" si="10"/>
        <v>0</v>
      </c>
      <c r="X25" s="89">
        <f t="shared" si="11"/>
        <v>0</v>
      </c>
    </row>
    <row r="26" spans="1:24" s="147" customFormat="1" ht="17.25" customHeight="1">
      <c r="A26" s="153" t="s">
        <v>127</v>
      </c>
      <c r="B26" s="55">
        <v>18000000</v>
      </c>
      <c r="C26" s="9">
        <f>SUM(C27:C34)-C27</f>
        <v>275625.1</v>
      </c>
      <c r="D26" s="9">
        <f>SUM(D27:D34)-D27</f>
        <v>323360.10000000003</v>
      </c>
      <c r="E26" s="6">
        <f t="shared" si="14"/>
        <v>43796.59999999992</v>
      </c>
      <c r="F26" s="6">
        <f t="shared" si="0"/>
        <v>113.54421896826477</v>
      </c>
      <c r="G26" s="9">
        <f aca="true" t="shared" si="18" ref="G26:M26">SUM(G27:G34)-G27</f>
        <v>317545.60000000003</v>
      </c>
      <c r="H26" s="9">
        <f t="shared" si="18"/>
        <v>291083.5</v>
      </c>
      <c r="I26" s="205">
        <f t="shared" si="18"/>
        <v>291083.5</v>
      </c>
      <c r="J26" s="9">
        <f t="shared" si="18"/>
        <v>174062.5</v>
      </c>
      <c r="K26" s="205">
        <f>SUM(K27:K34)-K27</f>
        <v>161921</v>
      </c>
      <c r="L26" s="9">
        <f t="shared" si="18"/>
        <v>367156.69999999995</v>
      </c>
      <c r="M26" s="9" t="e">
        <f t="shared" si="18"/>
        <v>#REF!</v>
      </c>
      <c r="N26" s="6">
        <f t="shared" si="2"/>
        <v>115.62329945683389</v>
      </c>
      <c r="O26" s="6">
        <f t="shared" si="3"/>
        <v>126.13449405411161</v>
      </c>
      <c r="P26" s="6">
        <f t="shared" si="4"/>
        <v>226.75051413961125</v>
      </c>
      <c r="Q26" s="6">
        <f t="shared" si="5"/>
        <v>76073.19999999995</v>
      </c>
      <c r="R26" s="6">
        <f t="shared" si="6"/>
        <v>205235.69999999995</v>
      </c>
      <c r="S26" s="88">
        <f t="shared" si="12"/>
        <v>22.729499684027648</v>
      </c>
      <c r="T26" s="89">
        <f t="shared" si="15"/>
        <v>0</v>
      </c>
      <c r="U26" s="89">
        <f t="shared" si="8"/>
        <v>0</v>
      </c>
      <c r="V26" s="89">
        <f t="shared" si="9"/>
        <v>0</v>
      </c>
      <c r="W26" s="248">
        <f t="shared" si="10"/>
        <v>0</v>
      </c>
      <c r="X26" s="89">
        <f t="shared" si="11"/>
        <v>12141.5</v>
      </c>
    </row>
    <row r="27" spans="1:24" s="91" customFormat="1" ht="29.25" customHeight="1">
      <c r="A27" s="154" t="s">
        <v>132</v>
      </c>
      <c r="B27" s="30">
        <v>18010000</v>
      </c>
      <c r="C27" s="3">
        <f>C28+C29+C30+C31</f>
        <v>157722.4</v>
      </c>
      <c r="D27" s="3">
        <f>D28+D29+D30+D31</f>
        <v>170575.59999999998</v>
      </c>
      <c r="E27" s="25">
        <f t="shared" si="14"/>
        <v>11037.5</v>
      </c>
      <c r="F27" s="25">
        <f t="shared" si="0"/>
        <v>106.47073790155216</v>
      </c>
      <c r="G27" s="3">
        <f aca="true" t="shared" si="19" ref="G27:L27">G28+G29+G30+G31</f>
        <v>173612.2</v>
      </c>
      <c r="H27" s="3">
        <f t="shared" si="19"/>
        <v>159144.5</v>
      </c>
      <c r="I27" s="216">
        <f t="shared" si="19"/>
        <v>159144.5</v>
      </c>
      <c r="J27" s="3">
        <f t="shared" si="19"/>
        <v>85347.89999999998</v>
      </c>
      <c r="K27" s="216">
        <f>K28+K29+K30+K31</f>
        <v>76882.40000000002</v>
      </c>
      <c r="L27" s="3">
        <f t="shared" si="19"/>
        <v>181613.09999999998</v>
      </c>
      <c r="M27" s="3" t="e">
        <f>L27-#REF!</f>
        <v>#REF!</v>
      </c>
      <c r="N27" s="25">
        <f t="shared" si="2"/>
        <v>104.60848949555385</v>
      </c>
      <c r="O27" s="25">
        <f t="shared" si="3"/>
        <v>114.11836412819794</v>
      </c>
      <c r="P27" s="25">
        <f t="shared" si="4"/>
        <v>236.22194416407388</v>
      </c>
      <c r="Q27" s="25">
        <f t="shared" si="5"/>
        <v>22468.599999999977</v>
      </c>
      <c r="R27" s="25">
        <f t="shared" si="6"/>
        <v>104730.69999999995</v>
      </c>
      <c r="S27" s="88">
        <f t="shared" si="12"/>
        <v>11.243087485711909</v>
      </c>
      <c r="T27" s="89">
        <f t="shared" si="15"/>
        <v>0</v>
      </c>
      <c r="U27" s="89">
        <f t="shared" si="8"/>
        <v>0</v>
      </c>
      <c r="V27" s="89">
        <f t="shared" si="9"/>
        <v>0</v>
      </c>
      <c r="W27" s="248">
        <f t="shared" si="10"/>
        <v>0</v>
      </c>
      <c r="X27" s="89">
        <f t="shared" si="11"/>
        <v>8465.499999999956</v>
      </c>
    </row>
    <row r="28" spans="1:24" s="91" customFormat="1" ht="71.25" customHeight="1">
      <c r="A28" s="154" t="s">
        <v>133</v>
      </c>
      <c r="B28" s="156" t="s">
        <v>298</v>
      </c>
      <c r="C28" s="3">
        <v>5722.6</v>
      </c>
      <c r="D28" s="3">
        <v>6769.3</v>
      </c>
      <c r="E28" s="25">
        <f t="shared" si="14"/>
        <v>1633.499999999999</v>
      </c>
      <c r="F28" s="25">
        <f t="shared" si="0"/>
        <v>124.13100320564902</v>
      </c>
      <c r="G28" s="3">
        <f>12300-5872.3</f>
        <v>6427.7</v>
      </c>
      <c r="H28" s="3">
        <f aca="true" t="shared" si="20" ref="H28:H33">ROUND(G28*$T$6,1)</f>
        <v>5892.1</v>
      </c>
      <c r="I28" s="219">
        <f aca="true" t="shared" si="21" ref="I28:I33">ROUND((G28*$T$7+G28*$T$8),1)</f>
        <v>5892.1</v>
      </c>
      <c r="J28" s="3">
        <v>3109.4</v>
      </c>
      <c r="K28" s="216">
        <v>2969.2</v>
      </c>
      <c r="L28" s="3">
        <v>8402.8</v>
      </c>
      <c r="M28" s="3" t="e">
        <f>L28-#REF!</f>
        <v>#REF!</v>
      </c>
      <c r="N28" s="25">
        <f t="shared" si="2"/>
        <v>130.72794312117864</v>
      </c>
      <c r="O28" s="25">
        <f t="shared" si="3"/>
        <v>142.61129308735423</v>
      </c>
      <c r="P28" s="25">
        <f t="shared" si="4"/>
        <v>282.9987875522026</v>
      </c>
      <c r="Q28" s="25">
        <f t="shared" si="5"/>
        <v>2510.699999999999</v>
      </c>
      <c r="R28" s="25">
        <f t="shared" si="6"/>
        <v>5433.599999999999</v>
      </c>
      <c r="S28" s="88">
        <f t="shared" si="12"/>
        <v>0.5201905343003342</v>
      </c>
      <c r="T28" s="89">
        <f t="shared" si="15"/>
        <v>0</v>
      </c>
      <c r="U28" s="89">
        <f t="shared" si="8"/>
        <v>0</v>
      </c>
      <c r="V28" s="89">
        <f t="shared" si="9"/>
        <v>0</v>
      </c>
      <c r="W28" s="248">
        <f t="shared" si="10"/>
        <v>0</v>
      </c>
      <c r="X28" s="89">
        <f t="shared" si="11"/>
        <v>140.20000000000027</v>
      </c>
    </row>
    <row r="29" spans="1:24" s="91" customFormat="1" ht="67.5" customHeight="1">
      <c r="A29" s="154" t="s">
        <v>134</v>
      </c>
      <c r="B29" s="30" t="s">
        <v>135</v>
      </c>
      <c r="C29" s="3">
        <v>151116.4</v>
      </c>
      <c r="D29" s="3">
        <v>162473.1</v>
      </c>
      <c r="E29" s="25">
        <f t="shared" si="14"/>
        <v>9470.699999999983</v>
      </c>
      <c r="F29" s="25">
        <f t="shared" si="0"/>
        <v>105.82908801518526</v>
      </c>
      <c r="G29" s="3">
        <v>166595</v>
      </c>
      <c r="H29" s="3">
        <f t="shared" si="20"/>
        <v>152712.1</v>
      </c>
      <c r="I29" s="219">
        <f t="shared" si="21"/>
        <v>152712.1</v>
      </c>
      <c r="J29" s="3">
        <v>81936.2</v>
      </c>
      <c r="K29" s="216">
        <v>73625.30000000002</v>
      </c>
      <c r="L29" s="3">
        <v>171943.8</v>
      </c>
      <c r="M29" s="3" t="e">
        <f>L29-#REF!</f>
        <v>#REF!</v>
      </c>
      <c r="N29" s="25">
        <f t="shared" si="2"/>
        <v>103.21066058405113</v>
      </c>
      <c r="O29" s="25">
        <f t="shared" si="3"/>
        <v>112.59343562166978</v>
      </c>
      <c r="P29" s="25">
        <f t="shared" si="4"/>
        <v>233.53901444204635</v>
      </c>
      <c r="Q29" s="25">
        <f t="shared" si="5"/>
        <v>19231.699999999983</v>
      </c>
      <c r="R29" s="25">
        <f t="shared" si="6"/>
        <v>98318.49999999997</v>
      </c>
      <c r="S29" s="88">
        <f t="shared" si="12"/>
        <v>10.64449197786807</v>
      </c>
      <c r="T29" s="89">
        <f t="shared" si="15"/>
        <v>0</v>
      </c>
      <c r="U29" s="89">
        <f t="shared" si="8"/>
        <v>0</v>
      </c>
      <c r="V29" s="89">
        <f t="shared" si="9"/>
        <v>0</v>
      </c>
      <c r="W29" s="248">
        <f t="shared" si="10"/>
        <v>0</v>
      </c>
      <c r="X29" s="89">
        <f t="shared" si="11"/>
        <v>8310.89999999998</v>
      </c>
    </row>
    <row r="30" spans="1:24" s="91" customFormat="1" ht="30.75" customHeight="1">
      <c r="A30" s="154" t="s">
        <v>147</v>
      </c>
      <c r="B30" s="30">
        <v>18011000</v>
      </c>
      <c r="C30" s="3">
        <v>254.5</v>
      </c>
      <c r="D30" s="3">
        <v>704.4</v>
      </c>
      <c r="E30" s="25">
        <f t="shared" si="14"/>
        <v>-86.19999999999993</v>
      </c>
      <c r="F30" s="25">
        <f t="shared" si="0"/>
        <v>87.7626348665531</v>
      </c>
      <c r="G30" s="3">
        <v>350</v>
      </c>
      <c r="H30" s="3">
        <f t="shared" si="20"/>
        <v>320.8</v>
      </c>
      <c r="I30" s="219">
        <f>ROUND((G30*$T$7+G30*$T$8),1)</f>
        <v>320.8</v>
      </c>
      <c r="J30" s="3">
        <v>93.4</v>
      </c>
      <c r="K30" s="216">
        <v>91.3</v>
      </c>
      <c r="L30" s="3">
        <v>618.2</v>
      </c>
      <c r="M30" s="3" t="e">
        <f>L30-#REF!</f>
        <v>#REF!</v>
      </c>
      <c r="N30" s="25">
        <f t="shared" si="2"/>
        <v>176.62857142857143</v>
      </c>
      <c r="O30" s="25">
        <f t="shared" si="3"/>
        <v>192.70573566084786</v>
      </c>
      <c r="P30" s="25">
        <f t="shared" si="4"/>
        <v>677.1084337349398</v>
      </c>
      <c r="Q30" s="25">
        <f t="shared" si="5"/>
        <v>297.40000000000003</v>
      </c>
      <c r="R30" s="25">
        <f t="shared" si="6"/>
        <v>526.9000000000001</v>
      </c>
      <c r="S30" s="88">
        <f t="shared" si="12"/>
        <v>0.03827078929695657</v>
      </c>
      <c r="T30" s="89">
        <f t="shared" si="15"/>
        <v>0</v>
      </c>
      <c r="U30" s="89">
        <f t="shared" si="8"/>
        <v>0</v>
      </c>
      <c r="V30" s="89">
        <f t="shared" si="9"/>
        <v>0</v>
      </c>
      <c r="W30" s="248">
        <f t="shared" si="10"/>
        <v>0</v>
      </c>
      <c r="X30" s="89">
        <f t="shared" si="11"/>
        <v>2.1000000000000085</v>
      </c>
    </row>
    <row r="31" spans="1:24" s="91" customFormat="1" ht="37.5" customHeight="1">
      <c r="A31" s="154" t="s">
        <v>146</v>
      </c>
      <c r="B31" s="30">
        <v>18011100</v>
      </c>
      <c r="C31" s="3">
        <v>628.9</v>
      </c>
      <c r="D31" s="3">
        <v>628.8</v>
      </c>
      <c r="E31" s="25">
        <f t="shared" si="14"/>
        <v>19.5</v>
      </c>
      <c r="F31" s="25">
        <f t="shared" si="0"/>
        <v>103.10114503816794</v>
      </c>
      <c r="G31" s="3">
        <v>239.5</v>
      </c>
      <c r="H31" s="3">
        <f t="shared" si="20"/>
        <v>219.5</v>
      </c>
      <c r="I31" s="219">
        <f>ROUND((G31*$T$7+G31*$T$8),1)</f>
        <v>219.5</v>
      </c>
      <c r="J31" s="3">
        <v>208.9</v>
      </c>
      <c r="K31" s="216">
        <v>196.6</v>
      </c>
      <c r="L31" s="3">
        <v>648.3</v>
      </c>
      <c r="M31" s="3" t="e">
        <f>L31-#REF!</f>
        <v>#REF!</v>
      </c>
      <c r="N31" s="25">
        <f t="shared" si="2"/>
        <v>270.68893528183713</v>
      </c>
      <c r="O31" s="25">
        <f t="shared" si="3"/>
        <v>295.3530751708428</v>
      </c>
      <c r="P31" s="25">
        <f t="shared" si="4"/>
        <v>329.7558494404883</v>
      </c>
      <c r="Q31" s="25">
        <f t="shared" si="5"/>
        <v>428.79999999999995</v>
      </c>
      <c r="R31" s="25">
        <f t="shared" si="6"/>
        <v>451.69999999999993</v>
      </c>
      <c r="S31" s="88">
        <f t="shared" si="12"/>
        <v>0.04013418424654957</v>
      </c>
      <c r="T31" s="89">
        <f t="shared" si="15"/>
        <v>0</v>
      </c>
      <c r="U31" s="89">
        <f t="shared" si="8"/>
        <v>0</v>
      </c>
      <c r="V31" s="89">
        <f t="shared" si="9"/>
        <v>0</v>
      </c>
      <c r="W31" s="248">
        <f t="shared" si="10"/>
        <v>0</v>
      </c>
      <c r="X31" s="89">
        <f t="shared" si="11"/>
        <v>12.300000000000011</v>
      </c>
    </row>
    <row r="32" spans="1:24" s="91" customFormat="1" ht="20.25" customHeight="1">
      <c r="A32" s="154" t="s">
        <v>74</v>
      </c>
      <c r="B32" s="30">
        <v>18030000</v>
      </c>
      <c r="C32" s="3">
        <v>146.6</v>
      </c>
      <c r="D32" s="3">
        <v>188.9</v>
      </c>
      <c r="E32" s="25">
        <f t="shared" si="14"/>
        <v>48.19999999999999</v>
      </c>
      <c r="F32" s="25">
        <f t="shared" si="0"/>
        <v>125.5161461090524</v>
      </c>
      <c r="G32" s="3">
        <v>130</v>
      </c>
      <c r="H32" s="3">
        <f t="shared" si="20"/>
        <v>119.2</v>
      </c>
      <c r="I32" s="219">
        <f t="shared" si="21"/>
        <v>119.2</v>
      </c>
      <c r="J32" s="3">
        <v>103.4</v>
      </c>
      <c r="K32" s="216">
        <v>90</v>
      </c>
      <c r="L32" s="3">
        <v>237.1</v>
      </c>
      <c r="M32" s="3" t="e">
        <f>L32-#REF!</f>
        <v>#REF!</v>
      </c>
      <c r="N32" s="25">
        <f t="shared" si="2"/>
        <v>182.3846153846154</v>
      </c>
      <c r="O32" s="25">
        <f t="shared" si="3"/>
        <v>198.90939597315435</v>
      </c>
      <c r="P32" s="25">
        <f t="shared" si="4"/>
        <v>263.44444444444446</v>
      </c>
      <c r="Q32" s="25">
        <f t="shared" si="5"/>
        <v>117.89999999999999</v>
      </c>
      <c r="R32" s="25">
        <f t="shared" si="6"/>
        <v>147.1</v>
      </c>
      <c r="S32" s="88">
        <f t="shared" si="12"/>
        <v>0.014678104403604664</v>
      </c>
      <c r="T32" s="89">
        <f t="shared" si="15"/>
        <v>0</v>
      </c>
      <c r="U32" s="89">
        <f t="shared" si="8"/>
        <v>0</v>
      </c>
      <c r="V32" s="89">
        <f t="shared" si="9"/>
        <v>0</v>
      </c>
      <c r="W32" s="248">
        <f t="shared" si="10"/>
        <v>0</v>
      </c>
      <c r="X32" s="89">
        <f t="shared" si="11"/>
        <v>13.400000000000006</v>
      </c>
    </row>
    <row r="33" spans="1:24" s="91" customFormat="1" ht="49.5" customHeight="1">
      <c r="A33" s="154" t="s">
        <v>128</v>
      </c>
      <c r="B33" s="30" t="s">
        <v>75</v>
      </c>
      <c r="C33" s="3">
        <v>-149.8</v>
      </c>
      <c r="D33" s="3">
        <v>-44.9</v>
      </c>
      <c r="E33" s="25">
        <f t="shared" si="14"/>
        <v>29.9</v>
      </c>
      <c r="F33" s="25">
        <f t="shared" si="0"/>
        <v>33.4075723830735</v>
      </c>
      <c r="G33" s="3"/>
      <c r="H33" s="3">
        <f t="shared" si="20"/>
        <v>0</v>
      </c>
      <c r="I33" s="216">
        <f t="shared" si="21"/>
        <v>0</v>
      </c>
      <c r="J33" s="3"/>
      <c r="K33" s="216"/>
      <c r="L33" s="3">
        <v>-15</v>
      </c>
      <c r="M33" s="3" t="e">
        <f>L33-#REF!</f>
        <v>#REF!</v>
      </c>
      <c r="N33" s="14" t="e">
        <f t="shared" si="2"/>
        <v>#DIV/0!</v>
      </c>
      <c r="O33" s="14" t="e">
        <f t="shared" si="3"/>
        <v>#DIV/0!</v>
      </c>
      <c r="P33" s="14" t="e">
        <f t="shared" si="4"/>
        <v>#DIV/0!</v>
      </c>
      <c r="Q33" s="25">
        <f t="shared" si="5"/>
        <v>-15</v>
      </c>
      <c r="R33" s="25">
        <f t="shared" si="6"/>
        <v>-15</v>
      </c>
      <c r="S33" s="88">
        <f t="shared" si="12"/>
        <v>-0.0009286021343486711</v>
      </c>
      <c r="T33" s="89">
        <f t="shared" si="15"/>
        <v>0</v>
      </c>
      <c r="U33" s="89" t="e">
        <f t="shared" si="8"/>
        <v>#DIV/0!</v>
      </c>
      <c r="V33" s="89" t="e">
        <f t="shared" si="9"/>
        <v>#DIV/0!</v>
      </c>
      <c r="W33" s="248">
        <f t="shared" si="10"/>
        <v>0</v>
      </c>
      <c r="X33" s="89">
        <f t="shared" si="11"/>
        <v>0</v>
      </c>
    </row>
    <row r="34" spans="1:24" s="91" customFormat="1" ht="24.75" customHeight="1">
      <c r="A34" s="154" t="s">
        <v>136</v>
      </c>
      <c r="B34" s="30">
        <v>18050000</v>
      </c>
      <c r="C34" s="3">
        <v>117905.9</v>
      </c>
      <c r="D34" s="3">
        <v>152640.5</v>
      </c>
      <c r="E34" s="25">
        <f t="shared" si="14"/>
        <v>32681</v>
      </c>
      <c r="F34" s="25">
        <f t="shared" si="0"/>
        <v>121.41043825197113</v>
      </c>
      <c r="G34" s="3">
        <f>137803.4+6000</f>
        <v>143803.4</v>
      </c>
      <c r="H34" s="3">
        <f>ROUND(G34*$T$6,1)</f>
        <v>131819.8</v>
      </c>
      <c r="I34" s="219">
        <f>ROUND((G34*$T$7+G34*$T$8),1)</f>
        <v>131819.8</v>
      </c>
      <c r="J34" s="3">
        <v>88611.2</v>
      </c>
      <c r="K34" s="216">
        <v>84948.6</v>
      </c>
      <c r="L34" s="3">
        <v>185321.5</v>
      </c>
      <c r="M34" s="3" t="e">
        <f>L34-#REF!</f>
        <v>#REF!</v>
      </c>
      <c r="N34" s="25">
        <f t="shared" si="2"/>
        <v>128.87143141260918</v>
      </c>
      <c r="O34" s="25">
        <f t="shared" si="3"/>
        <v>140.5869983113311</v>
      </c>
      <c r="P34" s="25">
        <f t="shared" si="4"/>
        <v>218.1572150688769</v>
      </c>
      <c r="Q34" s="25">
        <f t="shared" si="5"/>
        <v>53501.70000000001</v>
      </c>
      <c r="R34" s="25">
        <f t="shared" si="6"/>
        <v>100372.9</v>
      </c>
      <c r="S34" s="88">
        <f t="shared" si="12"/>
        <v>11.472662696046484</v>
      </c>
      <c r="T34" s="89">
        <f t="shared" si="15"/>
        <v>0</v>
      </c>
      <c r="U34" s="89">
        <f t="shared" si="8"/>
        <v>0</v>
      </c>
      <c r="V34" s="89">
        <f t="shared" si="9"/>
        <v>0</v>
      </c>
      <c r="W34" s="248">
        <f t="shared" si="10"/>
        <v>0</v>
      </c>
      <c r="X34" s="89">
        <f t="shared" si="11"/>
        <v>3662.5999999999913</v>
      </c>
    </row>
    <row r="35" spans="1:24" s="147" customFormat="1" ht="23.25" customHeight="1">
      <c r="A35" s="149" t="s">
        <v>77</v>
      </c>
      <c r="B35" s="43">
        <v>20000000</v>
      </c>
      <c r="C35" s="9">
        <f>C36+C45+C54</f>
        <v>70776.9</v>
      </c>
      <c r="D35" s="9">
        <f>D36+D45+D54</f>
        <v>73667.29999999999</v>
      </c>
      <c r="E35" s="6">
        <f t="shared" si="14"/>
        <v>-6915.899999999994</v>
      </c>
      <c r="F35" s="6">
        <f t="shared" si="0"/>
        <v>90.61198116396285</v>
      </c>
      <c r="G35" s="9">
        <f aca="true" t="shared" si="22" ref="G35:M35">G36+G45+G54</f>
        <v>58120</v>
      </c>
      <c r="H35" s="9">
        <f t="shared" si="22"/>
        <v>53276.6</v>
      </c>
      <c r="I35" s="205">
        <f t="shared" si="22"/>
        <v>53276.6</v>
      </c>
      <c r="J35" s="9">
        <f t="shared" si="22"/>
        <v>27637.599999999995</v>
      </c>
      <c r="K35" s="205">
        <f>K36+K45+K54</f>
        <v>24433.999999999996</v>
      </c>
      <c r="L35" s="9">
        <f t="shared" si="22"/>
        <v>66751.4</v>
      </c>
      <c r="M35" s="9" t="e">
        <f t="shared" si="22"/>
        <v>#REF!</v>
      </c>
      <c r="N35" s="9">
        <f t="shared" si="2"/>
        <v>114.85099793530624</v>
      </c>
      <c r="O35" s="6">
        <f t="shared" si="3"/>
        <v>125.29215452938062</v>
      </c>
      <c r="P35" s="9">
        <f t="shared" si="4"/>
        <v>273.1906359990178</v>
      </c>
      <c r="Q35" s="6">
        <f t="shared" si="5"/>
        <v>13474.799999999996</v>
      </c>
      <c r="R35" s="6">
        <f t="shared" si="6"/>
        <v>42317.399999999994</v>
      </c>
      <c r="S35" s="88">
        <f t="shared" si="12"/>
        <v>4.132366167384125</v>
      </c>
      <c r="T35" s="89">
        <f t="shared" si="15"/>
        <v>0</v>
      </c>
      <c r="U35" s="89">
        <f t="shared" si="8"/>
        <v>0</v>
      </c>
      <c r="V35" s="89">
        <f t="shared" si="9"/>
        <v>0</v>
      </c>
      <c r="W35" s="248">
        <f t="shared" si="10"/>
        <v>0</v>
      </c>
      <c r="X35" s="89">
        <f t="shared" si="11"/>
        <v>3203.5999999999985</v>
      </c>
    </row>
    <row r="36" spans="1:24" s="147" customFormat="1" ht="39" customHeight="1">
      <c r="A36" s="149" t="s">
        <v>78</v>
      </c>
      <c r="B36" s="43">
        <v>21000000</v>
      </c>
      <c r="C36" s="9">
        <f>C39+C40+C37</f>
        <v>33551.700000000004</v>
      </c>
      <c r="D36" s="9">
        <f>D39+D40+D37</f>
        <v>38180.09999999999</v>
      </c>
      <c r="E36" s="6">
        <f t="shared" si="14"/>
        <v>-19649.89999999999</v>
      </c>
      <c r="F36" s="6">
        <f t="shared" si="0"/>
        <v>48.533660205185434</v>
      </c>
      <c r="G36" s="9">
        <f aca="true" t="shared" si="23" ref="G36:M36">G39+G40+G37</f>
        <v>24252.8</v>
      </c>
      <c r="H36" s="9">
        <f t="shared" si="23"/>
        <v>22231.700000000004</v>
      </c>
      <c r="I36" s="205">
        <f t="shared" si="23"/>
        <v>22231.700000000004</v>
      </c>
      <c r="J36" s="9">
        <f t="shared" si="23"/>
        <v>6353.3</v>
      </c>
      <c r="K36" s="205">
        <f>K39+K40+K37</f>
        <v>5554.5</v>
      </c>
      <c r="L36" s="9">
        <f>L39+L40+L37</f>
        <v>18530.2</v>
      </c>
      <c r="M36" s="9" t="e">
        <f t="shared" si="23"/>
        <v>#REF!</v>
      </c>
      <c r="N36" s="9">
        <f t="shared" si="2"/>
        <v>76.40437392795883</v>
      </c>
      <c r="O36" s="6">
        <f t="shared" si="3"/>
        <v>83.35035107526639</v>
      </c>
      <c r="P36" s="9">
        <f t="shared" si="4"/>
        <v>333.6069853272122</v>
      </c>
      <c r="Q36" s="6">
        <f t="shared" si="5"/>
        <v>-3701.5000000000036</v>
      </c>
      <c r="R36" s="6">
        <f t="shared" si="6"/>
        <v>12975.7</v>
      </c>
      <c r="S36" s="88">
        <f t="shared" si="12"/>
        <v>1.147145551327183</v>
      </c>
      <c r="T36" s="89">
        <f t="shared" si="15"/>
        <v>0</v>
      </c>
      <c r="U36" s="89">
        <f t="shared" si="8"/>
        <v>0</v>
      </c>
      <c r="V36" s="89">
        <f t="shared" si="9"/>
        <v>0</v>
      </c>
      <c r="W36" s="248">
        <f t="shared" si="10"/>
        <v>0</v>
      </c>
      <c r="X36" s="89">
        <f t="shared" si="11"/>
        <v>798.8000000000002</v>
      </c>
    </row>
    <row r="37" spans="1:24" s="91" customFormat="1" ht="124.5" customHeight="1">
      <c r="A37" s="26" t="s">
        <v>164</v>
      </c>
      <c r="B37" s="27">
        <v>21010000</v>
      </c>
      <c r="C37" s="3">
        <f>C38</f>
        <v>92.8</v>
      </c>
      <c r="D37" s="3">
        <f>D38</f>
        <v>52.2</v>
      </c>
      <c r="E37" s="25">
        <f t="shared" si="14"/>
        <v>-41.5</v>
      </c>
      <c r="F37" s="25">
        <f t="shared" si="0"/>
        <v>20.498084291187737</v>
      </c>
      <c r="G37" s="3">
        <f aca="true" t="shared" si="24" ref="G37:M37">G38</f>
        <v>100.8</v>
      </c>
      <c r="H37" s="3">
        <f t="shared" si="24"/>
        <v>92.4</v>
      </c>
      <c r="I37" s="216">
        <f t="shared" si="24"/>
        <v>92.4</v>
      </c>
      <c r="J37" s="3">
        <f t="shared" si="24"/>
        <v>58.5</v>
      </c>
      <c r="K37" s="216">
        <f t="shared" si="24"/>
        <v>58.5</v>
      </c>
      <c r="L37" s="3">
        <f t="shared" si="24"/>
        <v>10.7</v>
      </c>
      <c r="M37" s="3" t="e">
        <f t="shared" si="24"/>
        <v>#REF!</v>
      </c>
      <c r="N37" s="3">
        <f t="shared" si="2"/>
        <v>10.615079365079366</v>
      </c>
      <c r="O37" s="25">
        <f t="shared" si="3"/>
        <v>11.580086580086578</v>
      </c>
      <c r="P37" s="3">
        <f t="shared" si="4"/>
        <v>18.29059829059829</v>
      </c>
      <c r="Q37" s="25">
        <f t="shared" si="5"/>
        <v>-81.7</v>
      </c>
      <c r="R37" s="25">
        <f t="shared" si="6"/>
        <v>-47.8</v>
      </c>
      <c r="S37" s="88">
        <f t="shared" si="12"/>
        <v>0.0006624028558353854</v>
      </c>
      <c r="T37" s="89">
        <f t="shared" si="15"/>
        <v>0</v>
      </c>
      <c r="U37" s="89">
        <f t="shared" si="8"/>
        <v>0</v>
      </c>
      <c r="V37" s="89">
        <f t="shared" si="9"/>
        <v>0</v>
      </c>
      <c r="W37" s="248">
        <f t="shared" si="10"/>
        <v>0</v>
      </c>
      <c r="X37" s="89">
        <f t="shared" si="11"/>
        <v>0</v>
      </c>
    </row>
    <row r="38" spans="1:24" s="158" customFormat="1" ht="66" customHeight="1">
      <c r="A38" s="59" t="s">
        <v>107</v>
      </c>
      <c r="B38" s="157">
        <v>21010300</v>
      </c>
      <c r="C38" s="8">
        <v>92.8</v>
      </c>
      <c r="D38" s="8">
        <v>52.2</v>
      </c>
      <c r="E38" s="36">
        <f t="shared" si="14"/>
        <v>-41.5</v>
      </c>
      <c r="F38" s="36">
        <f t="shared" si="0"/>
        <v>20.498084291187737</v>
      </c>
      <c r="G38" s="8">
        <v>100.8</v>
      </c>
      <c r="H38" s="3">
        <f>ROUND(G38*$T$6,1)</f>
        <v>92.4</v>
      </c>
      <c r="I38" s="219">
        <f>ROUND((G38*$T$7+G38*$T$8),1)</f>
        <v>92.4</v>
      </c>
      <c r="J38" s="8">
        <v>58.5</v>
      </c>
      <c r="K38" s="217">
        <v>58.5</v>
      </c>
      <c r="L38" s="8">
        <v>10.7</v>
      </c>
      <c r="M38" s="3" t="e">
        <f>L38-#REF!</f>
        <v>#REF!</v>
      </c>
      <c r="N38" s="8">
        <f t="shared" si="2"/>
        <v>10.615079365079366</v>
      </c>
      <c r="O38" s="36">
        <f t="shared" si="3"/>
        <v>11.580086580086578</v>
      </c>
      <c r="P38" s="8">
        <f t="shared" si="4"/>
        <v>18.29059829059829</v>
      </c>
      <c r="Q38" s="36">
        <f t="shared" si="5"/>
        <v>-81.7</v>
      </c>
      <c r="R38" s="36">
        <f t="shared" si="6"/>
        <v>-47.8</v>
      </c>
      <c r="S38" s="88">
        <f t="shared" si="12"/>
        <v>0.0006624028558353854</v>
      </c>
      <c r="T38" s="240">
        <f aca="true" t="shared" si="25" ref="T38:T43">G38*6/12+G38*18/(21*12)</f>
        <v>57.599999999999994</v>
      </c>
      <c r="U38" s="89">
        <f t="shared" si="8"/>
        <v>0</v>
      </c>
      <c r="V38" s="89">
        <f t="shared" si="9"/>
        <v>0</v>
      </c>
      <c r="W38" s="248">
        <f t="shared" si="10"/>
        <v>0</v>
      </c>
      <c r="X38" s="89">
        <f t="shared" si="11"/>
        <v>0</v>
      </c>
    </row>
    <row r="39" spans="1:24" s="147" customFormat="1" ht="41.25" customHeight="1">
      <c r="A39" s="61" t="s">
        <v>79</v>
      </c>
      <c r="B39" s="55">
        <v>21050000</v>
      </c>
      <c r="C39" s="9">
        <v>32934.5</v>
      </c>
      <c r="D39" s="9">
        <v>37343.7</v>
      </c>
      <c r="E39" s="6">
        <f t="shared" si="14"/>
        <v>-20693.1</v>
      </c>
      <c r="F39" s="6">
        <f t="shared" si="0"/>
        <v>44.58744045180312</v>
      </c>
      <c r="G39" s="9">
        <f>19551+4040.9</f>
        <v>23591.9</v>
      </c>
      <c r="H39" s="9">
        <f>ROUND(G39*$T$6,1)</f>
        <v>21625.9</v>
      </c>
      <c r="I39" s="205">
        <f>ROUND((G39*$T$7+G39*$T$8),1)</f>
        <v>21625.9</v>
      </c>
      <c r="J39" s="9">
        <v>5845.6</v>
      </c>
      <c r="K39" s="205">
        <v>5088.9</v>
      </c>
      <c r="L39" s="9">
        <v>16650.6</v>
      </c>
      <c r="M39" s="9" t="e">
        <f>L39-#REF!</f>
        <v>#REF!</v>
      </c>
      <c r="N39" s="6">
        <f>L39/G39*100</f>
        <v>70.57761350293956</v>
      </c>
      <c r="O39" s="6">
        <f>L39/I39*100</f>
        <v>76.99378985383267</v>
      </c>
      <c r="P39" s="6">
        <f>L39/K39*100</f>
        <v>327.19448210811765</v>
      </c>
      <c r="Q39" s="6">
        <f t="shared" si="5"/>
        <v>-4975.300000000003</v>
      </c>
      <c r="R39" s="6">
        <f t="shared" si="6"/>
        <v>11561.699999999999</v>
      </c>
      <c r="S39" s="88">
        <f t="shared" si="12"/>
        <v>1.0307855132123989</v>
      </c>
      <c r="T39" s="240">
        <f t="shared" si="25"/>
        <v>13481.085714285717</v>
      </c>
      <c r="U39" s="89">
        <f t="shared" si="8"/>
        <v>0</v>
      </c>
      <c r="V39" s="89">
        <f t="shared" si="9"/>
        <v>0</v>
      </c>
      <c r="W39" s="248">
        <f t="shared" si="10"/>
        <v>0</v>
      </c>
      <c r="X39" s="89">
        <f t="shared" si="11"/>
        <v>756.7000000000007</v>
      </c>
    </row>
    <row r="40" spans="1:24" s="91" customFormat="1" ht="23.25" customHeight="1">
      <c r="A40" s="29" t="s">
        <v>80</v>
      </c>
      <c r="B40" s="30">
        <v>21080000</v>
      </c>
      <c r="C40" s="3">
        <f>SUM(C41:C44)</f>
        <v>524.4</v>
      </c>
      <c r="D40" s="3">
        <f>SUM(D41:D44)</f>
        <v>784.1999999999999</v>
      </c>
      <c r="E40" s="25">
        <f t="shared" si="14"/>
        <v>1084.7000000000003</v>
      </c>
      <c r="F40" s="25">
        <f t="shared" si="0"/>
        <v>238.31930629941348</v>
      </c>
      <c r="G40" s="3">
        <f aca="true" t="shared" si="26" ref="G40:M40">SUM(G41:G44)</f>
        <v>560.1</v>
      </c>
      <c r="H40" s="3">
        <f>SUM(H41:H44)</f>
        <v>513.4</v>
      </c>
      <c r="I40" s="216">
        <f t="shared" si="26"/>
        <v>513.4</v>
      </c>
      <c r="J40" s="3">
        <f t="shared" si="26"/>
        <v>449.2</v>
      </c>
      <c r="K40" s="216">
        <f>SUM(K41:K44)</f>
        <v>407.09999999999997</v>
      </c>
      <c r="L40" s="3">
        <f t="shared" si="26"/>
        <v>1868.9</v>
      </c>
      <c r="M40" s="3" t="e">
        <f t="shared" si="26"/>
        <v>#REF!</v>
      </c>
      <c r="N40" s="3">
        <f t="shared" si="2"/>
        <v>333.67255847170145</v>
      </c>
      <c r="O40" s="25">
        <f t="shared" si="3"/>
        <v>364.02415270744063</v>
      </c>
      <c r="P40" s="3">
        <f t="shared" si="4"/>
        <v>459.0763940063867</v>
      </c>
      <c r="Q40" s="25">
        <f t="shared" si="5"/>
        <v>1355.5</v>
      </c>
      <c r="R40" s="25">
        <f t="shared" si="6"/>
        <v>1461.8000000000002</v>
      </c>
      <c r="S40" s="88">
        <f t="shared" si="12"/>
        <v>0.11569763525894879</v>
      </c>
      <c r="T40" s="240">
        <f t="shared" si="25"/>
        <v>320.0571428571429</v>
      </c>
      <c r="U40" s="89">
        <f t="shared" si="8"/>
        <v>0</v>
      </c>
      <c r="V40" s="89">
        <f t="shared" si="9"/>
        <v>0</v>
      </c>
      <c r="W40" s="248">
        <f t="shared" si="10"/>
        <v>0</v>
      </c>
      <c r="X40" s="89">
        <f t="shared" si="11"/>
        <v>42.10000000000002</v>
      </c>
    </row>
    <row r="41" spans="1:24" s="159" customFormat="1" ht="20.25" customHeight="1">
      <c r="A41" s="59" t="s">
        <v>80</v>
      </c>
      <c r="B41" s="33">
        <v>21080500</v>
      </c>
      <c r="C41" s="8">
        <v>0.2</v>
      </c>
      <c r="D41" s="8" t="s">
        <v>184</v>
      </c>
      <c r="E41" s="25">
        <f t="shared" si="14"/>
        <v>0</v>
      </c>
      <c r="F41" s="93" t="e">
        <f t="shared" si="0"/>
        <v>#DIV/0!</v>
      </c>
      <c r="G41" s="8"/>
      <c r="H41" s="8">
        <f>ROUND(G41*$T$6,1)</f>
        <v>0</v>
      </c>
      <c r="I41" s="219">
        <f>ROUND((G41*$T$7+G41*$T$8),1)</f>
        <v>0</v>
      </c>
      <c r="J41" s="8">
        <v>0</v>
      </c>
      <c r="K41" s="217">
        <v>0</v>
      </c>
      <c r="L41" s="8"/>
      <c r="M41" s="3" t="e">
        <f>L41-#REF!</f>
        <v>#REF!</v>
      </c>
      <c r="N41" s="93" t="e">
        <f t="shared" si="2"/>
        <v>#DIV/0!</v>
      </c>
      <c r="O41" s="93" t="e">
        <f t="shared" si="3"/>
        <v>#DIV/0!</v>
      </c>
      <c r="P41" s="93" t="e">
        <f t="shared" si="4"/>
        <v>#DIV/0!</v>
      </c>
      <c r="Q41" s="25">
        <f t="shared" si="5"/>
        <v>0</v>
      </c>
      <c r="R41" s="25">
        <f t="shared" si="6"/>
        <v>0</v>
      </c>
      <c r="S41" s="88">
        <f t="shared" si="12"/>
        <v>0</v>
      </c>
      <c r="T41" s="240">
        <f t="shared" si="25"/>
        <v>0</v>
      </c>
      <c r="U41" s="89" t="e">
        <f t="shared" si="8"/>
        <v>#DIV/0!</v>
      </c>
      <c r="V41" s="89" t="e">
        <f t="shared" si="9"/>
        <v>#DIV/0!</v>
      </c>
      <c r="W41" s="248">
        <f t="shared" si="10"/>
        <v>0</v>
      </c>
      <c r="X41" s="89">
        <f t="shared" si="11"/>
        <v>0</v>
      </c>
    </row>
    <row r="42" spans="1:24" s="160" customFormat="1" ht="93.75" customHeight="1" hidden="1">
      <c r="A42" s="59" t="s">
        <v>81</v>
      </c>
      <c r="B42" s="33">
        <v>21080900</v>
      </c>
      <c r="C42" s="8"/>
      <c r="D42" s="8"/>
      <c r="E42" s="25">
        <f t="shared" si="14"/>
        <v>0</v>
      </c>
      <c r="F42" s="14" t="e">
        <f t="shared" si="0"/>
        <v>#DIV/0!</v>
      </c>
      <c r="G42" s="8"/>
      <c r="H42" s="8">
        <f>ROUND(G42*$T$6,1)</f>
        <v>0</v>
      </c>
      <c r="I42" s="219">
        <f>ROUND((G42*$T$7+G42*$T$8),1)</f>
        <v>0</v>
      </c>
      <c r="J42" s="8">
        <v>0</v>
      </c>
      <c r="K42" s="217">
        <v>0</v>
      </c>
      <c r="L42" s="8"/>
      <c r="M42" s="3" t="e">
        <f>L42-#REF!</f>
        <v>#REF!</v>
      </c>
      <c r="N42" s="25" t="e">
        <f t="shared" si="2"/>
        <v>#DIV/0!</v>
      </c>
      <c r="O42" s="25" t="e">
        <f t="shared" si="3"/>
        <v>#DIV/0!</v>
      </c>
      <c r="P42" s="14" t="e">
        <f t="shared" si="4"/>
        <v>#DIV/0!</v>
      </c>
      <c r="Q42" s="25">
        <f t="shared" si="5"/>
        <v>0</v>
      </c>
      <c r="R42" s="25">
        <f t="shared" si="6"/>
        <v>0</v>
      </c>
      <c r="S42" s="88">
        <f t="shared" si="12"/>
        <v>0</v>
      </c>
      <c r="T42" s="240">
        <f t="shared" si="25"/>
        <v>0</v>
      </c>
      <c r="U42" s="89" t="e">
        <f t="shared" si="8"/>
        <v>#DIV/0!</v>
      </c>
      <c r="V42" s="89" t="e">
        <f t="shared" si="9"/>
        <v>#DIV/0!</v>
      </c>
      <c r="W42" s="248">
        <f t="shared" si="10"/>
        <v>0</v>
      </c>
      <c r="X42" s="89">
        <f t="shared" si="11"/>
        <v>0</v>
      </c>
    </row>
    <row r="43" spans="1:24" s="160" customFormat="1" ht="33" customHeight="1">
      <c r="A43" s="59" t="s">
        <v>82</v>
      </c>
      <c r="B43" s="33">
        <v>21081100</v>
      </c>
      <c r="C43" s="8">
        <v>309.8</v>
      </c>
      <c r="D43" s="8">
        <v>610.3</v>
      </c>
      <c r="E43" s="8">
        <f t="shared" si="14"/>
        <v>860.5</v>
      </c>
      <c r="F43" s="8">
        <f t="shared" si="0"/>
        <v>240.99623136162543</v>
      </c>
      <c r="G43" s="3">
        <v>282</v>
      </c>
      <c r="H43" s="3">
        <f>ROUND(G43*$T$6,1)</f>
        <v>258.5</v>
      </c>
      <c r="I43" s="216">
        <f>ROUND((G43*$T$7+G43*$T$8),1)</f>
        <v>258.5</v>
      </c>
      <c r="J43" s="3">
        <v>385.2</v>
      </c>
      <c r="K43" s="216">
        <v>350.7</v>
      </c>
      <c r="L43" s="3">
        <v>1470.8</v>
      </c>
      <c r="M43" s="3" t="e">
        <f>L43-#REF!</f>
        <v>#REF!</v>
      </c>
      <c r="N43" s="3">
        <f>L43/G43*100</f>
        <v>521.5602836879432</v>
      </c>
      <c r="O43" s="3">
        <f>L43/I43*100</f>
        <v>568.9748549323017</v>
      </c>
      <c r="P43" s="3">
        <f>L43/K43*100</f>
        <v>419.38979184488164</v>
      </c>
      <c r="Q43" s="3">
        <f>L43-I43</f>
        <v>1212.3</v>
      </c>
      <c r="R43" s="3">
        <f>L43-K43</f>
        <v>1120.1</v>
      </c>
      <c r="S43" s="88">
        <f t="shared" si="12"/>
        <v>0.09105253461333504</v>
      </c>
      <c r="T43" s="240">
        <f t="shared" si="25"/>
        <v>161.14285714285714</v>
      </c>
      <c r="U43" s="89">
        <f t="shared" si="8"/>
        <v>0</v>
      </c>
      <c r="V43" s="89">
        <f t="shared" si="9"/>
        <v>0</v>
      </c>
      <c r="W43" s="248">
        <f t="shared" si="10"/>
        <v>0</v>
      </c>
      <c r="X43" s="89">
        <f t="shared" si="11"/>
        <v>34.5</v>
      </c>
    </row>
    <row r="44" spans="1:24" s="160" customFormat="1" ht="73.5" customHeight="1">
      <c r="A44" s="59" t="s">
        <v>144</v>
      </c>
      <c r="B44" s="33">
        <v>21081500</v>
      </c>
      <c r="C44" s="8">
        <v>214.4</v>
      </c>
      <c r="D44" s="8">
        <v>173.9</v>
      </c>
      <c r="E44" s="8">
        <f t="shared" si="14"/>
        <v>224.20000000000002</v>
      </c>
      <c r="F44" s="25">
        <f t="shared" si="0"/>
        <v>228.92466935020127</v>
      </c>
      <c r="G44" s="8">
        <v>278.1</v>
      </c>
      <c r="H44" s="8">
        <f>ROUND(G44*$T$6,1)</f>
        <v>254.9</v>
      </c>
      <c r="I44" s="219">
        <f>ROUND((G44*$T$7+G44*$T$8),1)</f>
        <v>254.9</v>
      </c>
      <c r="J44" s="8">
        <v>64</v>
      </c>
      <c r="K44" s="217">
        <v>56.4</v>
      </c>
      <c r="L44" s="8">
        <v>398.1</v>
      </c>
      <c r="M44" s="3" t="e">
        <f>L44-#REF!</f>
        <v>#REF!</v>
      </c>
      <c r="N44" s="36">
        <f t="shared" si="2"/>
        <v>143.1499460625674</v>
      </c>
      <c r="O44" s="25">
        <f t="shared" si="3"/>
        <v>156.17889368379758</v>
      </c>
      <c r="P44" s="36">
        <f t="shared" si="4"/>
        <v>705.8510638297873</v>
      </c>
      <c r="Q44" s="25">
        <f t="shared" si="5"/>
        <v>143.20000000000002</v>
      </c>
      <c r="R44" s="25">
        <f t="shared" si="6"/>
        <v>341.70000000000005</v>
      </c>
      <c r="S44" s="88">
        <f t="shared" si="12"/>
        <v>0.024645100645613736</v>
      </c>
      <c r="T44" s="240">
        <f>G44*6/12+G44*18/(21*12)</f>
        <v>158.9142857142857</v>
      </c>
      <c r="U44" s="89">
        <f t="shared" si="8"/>
        <v>0</v>
      </c>
      <c r="V44" s="89">
        <f t="shared" si="9"/>
        <v>0</v>
      </c>
      <c r="W44" s="248">
        <f t="shared" si="10"/>
        <v>0</v>
      </c>
      <c r="X44" s="89">
        <f t="shared" si="11"/>
        <v>7.600000000000001</v>
      </c>
    </row>
    <row r="45" spans="1:24" s="147" customFormat="1" ht="55.5" customHeight="1">
      <c r="A45" s="149" t="s">
        <v>83</v>
      </c>
      <c r="B45" s="43">
        <v>22000000</v>
      </c>
      <c r="C45" s="9">
        <f>C51+C53+C46</f>
        <v>34538.299999999996</v>
      </c>
      <c r="D45" s="9">
        <f>D51+D53+D46</f>
        <v>32339</v>
      </c>
      <c r="E45" s="6">
        <f t="shared" si="14"/>
        <v>11958.800000000003</v>
      </c>
      <c r="F45" s="6">
        <f t="shared" si="0"/>
        <v>136.979498438418</v>
      </c>
      <c r="G45" s="9">
        <f aca="true" t="shared" si="27" ref="G45:M45">G51+G53+G46</f>
        <v>31593</v>
      </c>
      <c r="H45" s="9">
        <f t="shared" si="27"/>
        <v>28960.199999999997</v>
      </c>
      <c r="I45" s="205">
        <f t="shared" si="27"/>
        <v>28960.199999999997</v>
      </c>
      <c r="J45" s="9">
        <f t="shared" si="27"/>
        <v>20161.199999999997</v>
      </c>
      <c r="K45" s="205">
        <f>K51+K53+K46</f>
        <v>17849.699999999997</v>
      </c>
      <c r="L45" s="9">
        <f t="shared" si="27"/>
        <v>44297.8</v>
      </c>
      <c r="M45" s="9" t="e">
        <f t="shared" si="27"/>
        <v>#REF!</v>
      </c>
      <c r="N45" s="9">
        <f t="shared" si="2"/>
        <v>140.2139714493717</v>
      </c>
      <c r="O45" s="6">
        <f t="shared" si="3"/>
        <v>152.96096021436318</v>
      </c>
      <c r="P45" s="9">
        <f t="shared" si="4"/>
        <v>248.17111772186652</v>
      </c>
      <c r="Q45" s="6">
        <f t="shared" si="5"/>
        <v>15337.600000000006</v>
      </c>
      <c r="R45" s="6">
        <f t="shared" si="6"/>
        <v>26448.100000000006</v>
      </c>
      <c r="S45" s="88">
        <f t="shared" si="12"/>
        <v>2.7423354417967047</v>
      </c>
      <c r="T45" s="89">
        <f t="shared" si="15"/>
        <v>0</v>
      </c>
      <c r="U45" s="89">
        <f t="shared" si="8"/>
        <v>0</v>
      </c>
      <c r="V45" s="89">
        <f t="shared" si="9"/>
        <v>0</v>
      </c>
      <c r="W45" s="248">
        <f t="shared" si="10"/>
        <v>0</v>
      </c>
      <c r="X45" s="89">
        <f t="shared" si="11"/>
        <v>2311.5</v>
      </c>
    </row>
    <row r="46" spans="1:24" s="91" customFormat="1" ht="33.75" customHeight="1">
      <c r="A46" s="26" t="s">
        <v>84</v>
      </c>
      <c r="B46" s="27" t="s">
        <v>85</v>
      </c>
      <c r="C46" s="3">
        <f>C47+C48+C49+C50</f>
        <v>10248.9</v>
      </c>
      <c r="D46" s="3">
        <f>D47+D48+D49+D50</f>
        <v>11442.199999999999</v>
      </c>
      <c r="E46" s="25">
        <f t="shared" si="14"/>
        <v>10653.4</v>
      </c>
      <c r="F46" s="25">
        <f t="shared" si="0"/>
        <v>193.10622083165825</v>
      </c>
      <c r="G46" s="3">
        <f aca="true" t="shared" si="28" ref="G46:M46">G47+G48+G49+G50</f>
        <v>14423</v>
      </c>
      <c r="H46" s="3">
        <f t="shared" si="28"/>
        <v>13221.099999999999</v>
      </c>
      <c r="I46" s="216">
        <f t="shared" si="28"/>
        <v>13221.099999999999</v>
      </c>
      <c r="J46" s="3">
        <f t="shared" si="28"/>
        <v>10764.8</v>
      </c>
      <c r="K46" s="216">
        <f t="shared" si="28"/>
        <v>9521.3</v>
      </c>
      <c r="L46" s="3">
        <f t="shared" si="28"/>
        <v>22095.6</v>
      </c>
      <c r="M46" s="3" t="e">
        <f t="shared" si="28"/>
        <v>#REF!</v>
      </c>
      <c r="N46" s="3">
        <f t="shared" si="2"/>
        <v>153.19697705054426</v>
      </c>
      <c r="O46" s="25">
        <f t="shared" si="3"/>
        <v>167.12376428587638</v>
      </c>
      <c r="P46" s="3">
        <f t="shared" si="4"/>
        <v>232.06494911409155</v>
      </c>
      <c r="Q46" s="25">
        <f t="shared" si="5"/>
        <v>8874.5</v>
      </c>
      <c r="R46" s="25">
        <f t="shared" si="6"/>
        <v>12574.3</v>
      </c>
      <c r="S46" s="88">
        <f t="shared" si="12"/>
        <v>1.3678680879809664</v>
      </c>
      <c r="T46" s="89">
        <f t="shared" si="15"/>
        <v>0</v>
      </c>
      <c r="U46" s="89">
        <f t="shared" si="8"/>
        <v>0</v>
      </c>
      <c r="V46" s="89">
        <f t="shared" si="9"/>
        <v>0</v>
      </c>
      <c r="W46" s="248">
        <f t="shared" si="10"/>
        <v>0</v>
      </c>
      <c r="X46" s="89">
        <f t="shared" si="11"/>
        <v>1243.5</v>
      </c>
    </row>
    <row r="47" spans="1:24" s="91" customFormat="1" ht="67.5" customHeight="1">
      <c r="A47" s="26" t="s">
        <v>294</v>
      </c>
      <c r="B47" s="27">
        <v>22010300</v>
      </c>
      <c r="C47" s="3">
        <v>454</v>
      </c>
      <c r="D47" s="3">
        <v>671.3</v>
      </c>
      <c r="E47" s="25">
        <f t="shared" si="14"/>
        <v>188</v>
      </c>
      <c r="F47" s="25">
        <f t="shared" si="0"/>
        <v>128.0053627290332</v>
      </c>
      <c r="G47" s="3">
        <v>400</v>
      </c>
      <c r="H47" s="3">
        <f>ROUND(G47*$T$6,1)</f>
        <v>366.7</v>
      </c>
      <c r="I47" s="219">
        <f>ROUND((G47*$T$7+G47*$T$8),1)</f>
        <v>366.7</v>
      </c>
      <c r="J47" s="3">
        <v>305</v>
      </c>
      <c r="K47" s="216">
        <v>262</v>
      </c>
      <c r="L47" s="3">
        <v>859.3</v>
      </c>
      <c r="M47" s="3" t="e">
        <f>L47-#REF!</f>
        <v>#REF!</v>
      </c>
      <c r="N47" s="3">
        <f t="shared" si="2"/>
        <v>214.825</v>
      </c>
      <c r="O47" s="25">
        <f t="shared" si="3"/>
        <v>234.33324243250615</v>
      </c>
      <c r="P47" s="3">
        <f t="shared" si="4"/>
        <v>327.9770992366412</v>
      </c>
      <c r="Q47" s="25">
        <f t="shared" si="5"/>
        <v>492.59999999999997</v>
      </c>
      <c r="R47" s="25">
        <f t="shared" si="6"/>
        <v>597.3</v>
      </c>
      <c r="S47" s="88">
        <f t="shared" si="12"/>
        <v>0.05319652093638754</v>
      </c>
      <c r="T47" s="89">
        <f t="shared" si="15"/>
        <v>0</v>
      </c>
      <c r="U47" s="89">
        <f t="shared" si="8"/>
        <v>0</v>
      </c>
      <c r="V47" s="89">
        <f t="shared" si="9"/>
        <v>0</v>
      </c>
      <c r="W47" s="248">
        <f t="shared" si="10"/>
        <v>0</v>
      </c>
      <c r="X47" s="89">
        <f t="shared" si="11"/>
        <v>43</v>
      </c>
    </row>
    <row r="48" spans="1:24" s="148" customFormat="1" ht="38.25" customHeight="1">
      <c r="A48" s="59" t="s">
        <v>142</v>
      </c>
      <c r="B48" s="33" t="s">
        <v>143</v>
      </c>
      <c r="C48" s="8">
        <v>8975.2</v>
      </c>
      <c r="D48" s="8">
        <v>9665.9</v>
      </c>
      <c r="E48" s="25">
        <f t="shared" si="14"/>
        <v>9546.6</v>
      </c>
      <c r="F48" s="25">
        <f t="shared" si="0"/>
        <v>198.76576418129716</v>
      </c>
      <c r="G48" s="8">
        <v>13365</v>
      </c>
      <c r="H48" s="8">
        <f>ROUND(G48*$T$6,1)</f>
        <v>12251.3</v>
      </c>
      <c r="I48" s="220">
        <f>ROUND((G48*$T$7+G48*$T$8),1)</f>
        <v>12251.3</v>
      </c>
      <c r="J48" s="8">
        <v>9840.8</v>
      </c>
      <c r="K48" s="217">
        <v>8703.3</v>
      </c>
      <c r="L48" s="8">
        <v>19212.5</v>
      </c>
      <c r="M48" s="3" t="e">
        <f>L48-#REF!</f>
        <v>#REF!</v>
      </c>
      <c r="N48" s="8">
        <f>L48/G48*100</f>
        <v>143.75233819678263</v>
      </c>
      <c r="O48" s="25">
        <f>L48/I48*100</f>
        <v>156.82009256160572</v>
      </c>
      <c r="P48" s="8">
        <f>L48/K48*100</f>
        <v>220.74960072616133</v>
      </c>
      <c r="Q48" s="25">
        <f t="shared" si="5"/>
        <v>6961.200000000001</v>
      </c>
      <c r="R48" s="25">
        <f t="shared" si="6"/>
        <v>10509.2</v>
      </c>
      <c r="S48" s="88">
        <f t="shared" si="12"/>
        <v>1.1893845670782563</v>
      </c>
      <c r="T48" s="89">
        <f t="shared" si="15"/>
        <v>0</v>
      </c>
      <c r="U48" s="89">
        <f t="shared" si="8"/>
        <v>0</v>
      </c>
      <c r="V48" s="89">
        <f t="shared" si="9"/>
        <v>0</v>
      </c>
      <c r="W48" s="248">
        <f t="shared" si="10"/>
        <v>0</v>
      </c>
      <c r="X48" s="89">
        <f t="shared" si="11"/>
        <v>1137.5</v>
      </c>
    </row>
    <row r="49" spans="1:24" s="148" customFormat="1" ht="45" customHeight="1">
      <c r="A49" s="59" t="s">
        <v>163</v>
      </c>
      <c r="B49" s="33">
        <v>22012600</v>
      </c>
      <c r="C49" s="8">
        <v>806.9</v>
      </c>
      <c r="D49" s="8">
        <v>1056</v>
      </c>
      <c r="E49" s="25">
        <f t="shared" si="14"/>
        <v>855.8</v>
      </c>
      <c r="F49" s="25">
        <f t="shared" si="0"/>
        <v>181.04166666666666</v>
      </c>
      <c r="G49" s="8">
        <v>650</v>
      </c>
      <c r="H49" s="8">
        <f>ROUND(G49*$T$6,1)</f>
        <v>595.8</v>
      </c>
      <c r="I49" s="220">
        <f>ROUND((G49*$T$7+G49*$T$8),1)</f>
        <v>595.8</v>
      </c>
      <c r="J49" s="8">
        <v>600</v>
      </c>
      <c r="K49" s="217">
        <v>539.5</v>
      </c>
      <c r="L49" s="8">
        <v>1911.8</v>
      </c>
      <c r="M49" s="3" t="e">
        <f>L49-#REF!</f>
        <v>#REF!</v>
      </c>
      <c r="N49" s="8">
        <f>L49/G49*100</f>
        <v>294.12307692307695</v>
      </c>
      <c r="O49" s="25">
        <f>L49/I49*100</f>
        <v>320.879489761665</v>
      </c>
      <c r="P49" s="8">
        <f>L49/K49*100</f>
        <v>354.3651529193698</v>
      </c>
      <c r="Q49" s="25">
        <f t="shared" si="5"/>
        <v>1316</v>
      </c>
      <c r="R49" s="25">
        <f t="shared" si="6"/>
        <v>1372.3</v>
      </c>
      <c r="S49" s="88">
        <f t="shared" si="12"/>
        <v>0.11835343736318599</v>
      </c>
      <c r="T49" s="89">
        <f t="shared" si="15"/>
        <v>0</v>
      </c>
      <c r="U49" s="89">
        <f t="shared" si="8"/>
        <v>0</v>
      </c>
      <c r="V49" s="89">
        <f t="shared" si="9"/>
        <v>0</v>
      </c>
      <c r="W49" s="248">
        <f t="shared" si="10"/>
        <v>0</v>
      </c>
      <c r="X49" s="89">
        <f t="shared" si="11"/>
        <v>60.5</v>
      </c>
    </row>
    <row r="50" spans="1:24" s="148" customFormat="1" ht="156" customHeight="1">
      <c r="A50" s="59" t="s">
        <v>295</v>
      </c>
      <c r="B50" s="33">
        <v>22012900</v>
      </c>
      <c r="C50" s="8">
        <v>12.8</v>
      </c>
      <c r="D50" s="8">
        <v>49</v>
      </c>
      <c r="E50" s="25">
        <f t="shared" si="14"/>
        <v>63</v>
      </c>
      <c r="F50" s="25">
        <f t="shared" si="0"/>
        <v>228.57142857142856</v>
      </c>
      <c r="G50" s="8">
        <v>8</v>
      </c>
      <c r="H50" s="8">
        <f>ROUND(G50*$T$6,1)</f>
        <v>7.3</v>
      </c>
      <c r="I50" s="219">
        <f>ROUND((G50*$T$7+G50*$T$8),1)</f>
        <v>7.3</v>
      </c>
      <c r="J50" s="8">
        <v>19</v>
      </c>
      <c r="K50" s="217">
        <v>16.5</v>
      </c>
      <c r="L50" s="8">
        <v>112</v>
      </c>
      <c r="M50" s="3" t="e">
        <f>L50-#REF!</f>
        <v>#REF!</v>
      </c>
      <c r="N50" s="8">
        <f>L50/G50*100</f>
        <v>1400</v>
      </c>
      <c r="O50" s="25">
        <f>L50/I50*100</f>
        <v>1534.2465753424658</v>
      </c>
      <c r="P50" s="8">
        <f>L50/K50*100</f>
        <v>678.7878787878788</v>
      </c>
      <c r="Q50" s="25">
        <f t="shared" si="5"/>
        <v>104.7</v>
      </c>
      <c r="R50" s="25">
        <f t="shared" si="6"/>
        <v>95.5</v>
      </c>
      <c r="S50" s="88">
        <f t="shared" si="12"/>
        <v>0.006933562603136745</v>
      </c>
      <c r="T50" s="89">
        <f t="shared" si="15"/>
        <v>0</v>
      </c>
      <c r="U50" s="89">
        <f t="shared" si="8"/>
        <v>0</v>
      </c>
      <c r="V50" s="89">
        <f t="shared" si="9"/>
        <v>0</v>
      </c>
      <c r="W50" s="248">
        <f t="shared" si="10"/>
        <v>0</v>
      </c>
      <c r="X50" s="89">
        <f t="shared" si="11"/>
        <v>2.5</v>
      </c>
    </row>
    <row r="51" spans="1:24" s="161" customFormat="1" ht="63" customHeight="1">
      <c r="A51" s="29" t="s">
        <v>86</v>
      </c>
      <c r="B51" s="30">
        <v>22080000</v>
      </c>
      <c r="C51" s="3">
        <f>C52</f>
        <v>20523.8</v>
      </c>
      <c r="D51" s="3">
        <f>D52</f>
        <v>20434</v>
      </c>
      <c r="E51" s="25">
        <f t="shared" si="14"/>
        <v>1234.2999999999993</v>
      </c>
      <c r="F51" s="25">
        <f t="shared" si="0"/>
        <v>106.04042282470391</v>
      </c>
      <c r="G51" s="3">
        <f aca="true" t="shared" si="29" ref="G51:M51">G52</f>
        <v>17000</v>
      </c>
      <c r="H51" s="3">
        <f t="shared" si="29"/>
        <v>15583.3</v>
      </c>
      <c r="I51" s="216">
        <f t="shared" si="29"/>
        <v>15583.3</v>
      </c>
      <c r="J51" s="3">
        <f t="shared" si="29"/>
        <v>9200</v>
      </c>
      <c r="K51" s="216">
        <f t="shared" si="29"/>
        <v>8150</v>
      </c>
      <c r="L51" s="3">
        <f t="shared" si="29"/>
        <v>21668.3</v>
      </c>
      <c r="M51" s="3" t="e">
        <f t="shared" si="29"/>
        <v>#REF!</v>
      </c>
      <c r="N51" s="3">
        <f aca="true" t="shared" si="30" ref="N51:N123">L51/G51*100</f>
        <v>127.46058823529411</v>
      </c>
      <c r="O51" s="25">
        <f aca="true" t="shared" si="31" ref="O51:O123">L51/I51*100</f>
        <v>139.04821186783286</v>
      </c>
      <c r="P51" s="3">
        <f aca="true" t="shared" si="32" ref="P51:P123">L51/K51*100</f>
        <v>265.86871165644175</v>
      </c>
      <c r="Q51" s="25">
        <f t="shared" si="5"/>
        <v>6085</v>
      </c>
      <c r="R51" s="25">
        <f t="shared" si="6"/>
        <v>13518.3</v>
      </c>
      <c r="S51" s="88">
        <f t="shared" si="12"/>
        <v>1.3414153085138207</v>
      </c>
      <c r="T51" s="89">
        <f t="shared" si="15"/>
        <v>0</v>
      </c>
      <c r="U51" s="89">
        <f t="shared" si="8"/>
        <v>0</v>
      </c>
      <c r="V51" s="89">
        <f t="shared" si="9"/>
        <v>0</v>
      </c>
      <c r="W51" s="248">
        <f t="shared" si="10"/>
        <v>0</v>
      </c>
      <c r="X51" s="89">
        <f t="shared" si="11"/>
        <v>1050</v>
      </c>
    </row>
    <row r="52" spans="1:24" s="94" customFormat="1" ht="69.75" customHeight="1">
      <c r="A52" s="59" t="s">
        <v>87</v>
      </c>
      <c r="B52" s="33">
        <v>22080401</v>
      </c>
      <c r="C52" s="8">
        <v>20523.8</v>
      </c>
      <c r="D52" s="3">
        <v>20434</v>
      </c>
      <c r="E52" s="25">
        <f t="shared" si="14"/>
        <v>1234.2999999999993</v>
      </c>
      <c r="F52" s="25">
        <f t="shared" si="0"/>
        <v>106.04042282470391</v>
      </c>
      <c r="G52" s="8">
        <v>17000</v>
      </c>
      <c r="H52" s="3">
        <f>ROUND(G52*$T$6,1)</f>
        <v>15583.3</v>
      </c>
      <c r="I52" s="220">
        <f>ROUND((G52*$T$7+G52*$T$8),1)</f>
        <v>15583.3</v>
      </c>
      <c r="J52" s="8">
        <v>9200</v>
      </c>
      <c r="K52" s="217">
        <v>8150</v>
      </c>
      <c r="L52" s="8">
        <v>21668.3</v>
      </c>
      <c r="M52" s="3" t="e">
        <f>L52-#REF!</f>
        <v>#REF!</v>
      </c>
      <c r="N52" s="36">
        <f t="shared" si="30"/>
        <v>127.46058823529411</v>
      </c>
      <c r="O52" s="25">
        <f t="shared" si="31"/>
        <v>139.04821186783286</v>
      </c>
      <c r="P52" s="36">
        <f t="shared" si="32"/>
        <v>265.86871165644175</v>
      </c>
      <c r="Q52" s="25">
        <f t="shared" si="5"/>
        <v>6085</v>
      </c>
      <c r="R52" s="25">
        <f t="shared" si="6"/>
        <v>13518.3</v>
      </c>
      <c r="S52" s="88">
        <f t="shared" si="12"/>
        <v>1.3414153085138207</v>
      </c>
      <c r="T52" s="89">
        <f t="shared" si="15"/>
        <v>0</v>
      </c>
      <c r="U52" s="89">
        <f t="shared" si="8"/>
        <v>0</v>
      </c>
      <c r="V52" s="89">
        <f t="shared" si="9"/>
        <v>0</v>
      </c>
      <c r="W52" s="248">
        <f t="shared" si="10"/>
        <v>0</v>
      </c>
      <c r="X52" s="89">
        <f t="shared" si="11"/>
        <v>1050</v>
      </c>
    </row>
    <row r="53" spans="1:24" s="91" customFormat="1" ht="27.75" customHeight="1">
      <c r="A53" s="154" t="s">
        <v>88</v>
      </c>
      <c r="B53" s="30">
        <v>22090000</v>
      </c>
      <c r="C53" s="3">
        <v>3765.6</v>
      </c>
      <c r="D53" s="3">
        <v>462.8</v>
      </c>
      <c r="E53" s="25">
        <f t="shared" si="14"/>
        <v>71.09999999999997</v>
      </c>
      <c r="F53" s="25">
        <f t="shared" si="0"/>
        <v>115.36300777873811</v>
      </c>
      <c r="G53" s="3">
        <v>170</v>
      </c>
      <c r="H53" s="3">
        <f>ROUND(G53*$T$6,1)</f>
        <v>155.8</v>
      </c>
      <c r="I53" s="219">
        <f>ROUND((G53*$T$7+G53*$T$8),1)</f>
        <v>155.8</v>
      </c>
      <c r="J53" s="3">
        <v>196.4</v>
      </c>
      <c r="K53" s="216">
        <v>178.4</v>
      </c>
      <c r="L53" s="3">
        <v>533.9</v>
      </c>
      <c r="M53" s="3" t="e">
        <f>L53-#REF!</f>
        <v>#REF!</v>
      </c>
      <c r="N53" s="25">
        <f t="shared" si="30"/>
        <v>314.05882352941177</v>
      </c>
      <c r="O53" s="25">
        <f t="shared" si="31"/>
        <v>342.68292682926824</v>
      </c>
      <c r="P53" s="25">
        <f t="shared" si="32"/>
        <v>299.27130044843045</v>
      </c>
      <c r="Q53" s="25">
        <f t="shared" si="5"/>
        <v>378.09999999999997</v>
      </c>
      <c r="R53" s="25">
        <f t="shared" si="6"/>
        <v>355.5</v>
      </c>
      <c r="S53" s="88">
        <f t="shared" si="12"/>
        <v>0.033052045301917035</v>
      </c>
      <c r="T53" s="89">
        <f t="shared" si="15"/>
        <v>0</v>
      </c>
      <c r="U53" s="89">
        <f t="shared" si="8"/>
        <v>0</v>
      </c>
      <c r="V53" s="89">
        <f t="shared" si="9"/>
        <v>0</v>
      </c>
      <c r="W53" s="248">
        <f t="shared" si="10"/>
        <v>0</v>
      </c>
      <c r="X53" s="89">
        <f t="shared" si="11"/>
        <v>18</v>
      </c>
    </row>
    <row r="54" spans="1:24" s="150" customFormat="1" ht="21" customHeight="1">
      <c r="A54" s="61" t="s">
        <v>89</v>
      </c>
      <c r="B54" s="55">
        <v>24000000</v>
      </c>
      <c r="C54" s="9">
        <f>SUM(C55:C60)</f>
        <v>2686.8999999999996</v>
      </c>
      <c r="D54" s="9">
        <f>SUM(D55:D60)</f>
        <v>3148.2000000000003</v>
      </c>
      <c r="E54" s="6">
        <f t="shared" si="14"/>
        <v>775.1999999999994</v>
      </c>
      <c r="F54" s="6">
        <f t="shared" si="0"/>
        <v>124.62359443491518</v>
      </c>
      <c r="G54" s="9">
        <f aca="true" t="shared" si="33" ref="G54:L54">SUM(G55:G60)</f>
        <v>2274.2000000000003</v>
      </c>
      <c r="H54" s="9">
        <f t="shared" si="33"/>
        <v>2084.7</v>
      </c>
      <c r="I54" s="205">
        <f t="shared" si="33"/>
        <v>2084.7</v>
      </c>
      <c r="J54" s="9">
        <f t="shared" si="33"/>
        <v>1123.1</v>
      </c>
      <c r="K54" s="205">
        <f>SUM(K55:K60)</f>
        <v>1029.8</v>
      </c>
      <c r="L54" s="9">
        <f t="shared" si="33"/>
        <v>3923.3999999999996</v>
      </c>
      <c r="M54" s="9" t="e">
        <f>M55+M56+M58+M59</f>
        <v>#REF!</v>
      </c>
      <c r="N54" s="9">
        <f t="shared" si="30"/>
        <v>172.5178084601178</v>
      </c>
      <c r="O54" s="6">
        <f t="shared" si="31"/>
        <v>188.19974096992374</v>
      </c>
      <c r="P54" s="9">
        <f t="shared" si="32"/>
        <v>380.9865993396776</v>
      </c>
      <c r="Q54" s="6">
        <f t="shared" si="5"/>
        <v>1838.6999999999998</v>
      </c>
      <c r="R54" s="6">
        <f t="shared" si="6"/>
        <v>2893.5999999999995</v>
      </c>
      <c r="S54" s="88">
        <f t="shared" si="12"/>
        <v>0.24288517426023842</v>
      </c>
      <c r="T54" s="89">
        <f t="shared" si="15"/>
        <v>0</v>
      </c>
      <c r="U54" s="89">
        <f t="shared" si="8"/>
        <v>0</v>
      </c>
      <c r="V54" s="89">
        <f t="shared" si="9"/>
        <v>0</v>
      </c>
      <c r="W54" s="248">
        <f t="shared" si="10"/>
        <v>0</v>
      </c>
      <c r="X54" s="89">
        <f t="shared" si="11"/>
        <v>93.29999999999995</v>
      </c>
    </row>
    <row r="55" spans="1:24" s="91" customFormat="1" ht="76.5" customHeight="1">
      <c r="A55" s="162" t="s">
        <v>90</v>
      </c>
      <c r="B55" s="27">
        <v>24030000</v>
      </c>
      <c r="C55" s="3">
        <v>0.7</v>
      </c>
      <c r="D55" s="3">
        <v>0.4</v>
      </c>
      <c r="E55" s="25">
        <f t="shared" si="14"/>
        <v>4.3</v>
      </c>
      <c r="F55" s="25">
        <f t="shared" si="0"/>
        <v>1175</v>
      </c>
      <c r="G55" s="3">
        <v>2.3</v>
      </c>
      <c r="H55" s="3">
        <f>ROUND(G55*$T$6,1)</f>
        <v>2.1</v>
      </c>
      <c r="I55" s="219">
        <f>ROUND((G55*$T$7+G55*$T$8),1)</f>
        <v>2.1</v>
      </c>
      <c r="J55" s="3">
        <v>0</v>
      </c>
      <c r="K55" s="216">
        <v>0</v>
      </c>
      <c r="L55" s="3">
        <v>4.7</v>
      </c>
      <c r="M55" s="3" t="e">
        <f>L55-#REF!</f>
        <v>#REF!</v>
      </c>
      <c r="N55" s="25">
        <f t="shared" si="30"/>
        <v>204.34782608695653</v>
      </c>
      <c r="O55" s="25">
        <f t="shared" si="31"/>
        <v>223.80952380952382</v>
      </c>
      <c r="P55" s="25" t="e">
        <f t="shared" si="32"/>
        <v>#DIV/0!</v>
      </c>
      <c r="Q55" s="25">
        <f t="shared" si="5"/>
        <v>2.6</v>
      </c>
      <c r="R55" s="25">
        <f t="shared" si="6"/>
        <v>4.7</v>
      </c>
      <c r="S55" s="88">
        <f t="shared" si="12"/>
        <v>0.000290962002095917</v>
      </c>
      <c r="T55" s="89">
        <f t="shared" si="15"/>
        <v>0</v>
      </c>
      <c r="U55" s="89">
        <f t="shared" si="8"/>
        <v>0</v>
      </c>
      <c r="V55" s="89">
        <f t="shared" si="9"/>
        <v>0</v>
      </c>
      <c r="W55" s="248">
        <f t="shared" si="10"/>
        <v>0</v>
      </c>
      <c r="X55" s="89">
        <f t="shared" si="11"/>
        <v>0</v>
      </c>
    </row>
    <row r="56" spans="1:24" s="163" customFormat="1" ht="22.5" customHeight="1">
      <c r="A56" s="162" t="s">
        <v>80</v>
      </c>
      <c r="B56" s="27">
        <v>24060300</v>
      </c>
      <c r="C56" s="3">
        <v>2665.9</v>
      </c>
      <c r="D56" s="3">
        <v>3032.9</v>
      </c>
      <c r="E56" s="25">
        <f t="shared" si="14"/>
        <v>836.5999999999999</v>
      </c>
      <c r="F56" s="25">
        <f t="shared" si="0"/>
        <v>127.58416037455899</v>
      </c>
      <c r="G56" s="3">
        <v>2271.9</v>
      </c>
      <c r="H56" s="3">
        <f>ROUND(G56*$T$6,1)</f>
        <v>2082.6</v>
      </c>
      <c r="I56" s="219">
        <f>ROUND((G56*$T$7+G56*$T$8),1)</f>
        <v>2082.6</v>
      </c>
      <c r="J56" s="3">
        <v>1123.1</v>
      </c>
      <c r="K56" s="216">
        <v>1029.8</v>
      </c>
      <c r="L56" s="3">
        <v>3869.5</v>
      </c>
      <c r="M56" s="3" t="e">
        <f>L56-#REF!</f>
        <v>#REF!</v>
      </c>
      <c r="N56" s="25">
        <f t="shared" si="30"/>
        <v>170.31999647871825</v>
      </c>
      <c r="O56" s="25">
        <f t="shared" si="31"/>
        <v>185.80140209353692</v>
      </c>
      <c r="P56" s="25">
        <f t="shared" si="32"/>
        <v>375.75257331520686</v>
      </c>
      <c r="Q56" s="25">
        <f t="shared" si="5"/>
        <v>1786.9</v>
      </c>
      <c r="R56" s="25">
        <f t="shared" si="6"/>
        <v>2839.7</v>
      </c>
      <c r="S56" s="88">
        <f t="shared" si="12"/>
        <v>0.2395483972574789</v>
      </c>
      <c r="T56" s="89">
        <f t="shared" si="15"/>
        <v>0</v>
      </c>
      <c r="U56" s="89">
        <f t="shared" si="8"/>
        <v>0</v>
      </c>
      <c r="V56" s="89">
        <f t="shared" si="9"/>
        <v>0</v>
      </c>
      <c r="W56" s="248">
        <f t="shared" si="10"/>
        <v>0</v>
      </c>
      <c r="X56" s="89">
        <f t="shared" si="11"/>
        <v>93.29999999999995</v>
      </c>
    </row>
    <row r="57" spans="1:24" s="163" customFormat="1" ht="42.75" customHeight="1" hidden="1">
      <c r="A57" s="162" t="s">
        <v>118</v>
      </c>
      <c r="B57" s="27">
        <v>24060600</v>
      </c>
      <c r="C57" s="3"/>
      <c r="D57" s="3"/>
      <c r="E57" s="25">
        <f t="shared" si="14"/>
        <v>0</v>
      </c>
      <c r="F57" s="14" t="e">
        <f t="shared" si="0"/>
        <v>#DIV/0!</v>
      </c>
      <c r="G57" s="3"/>
      <c r="H57" s="3"/>
      <c r="I57" s="216">
        <f>G57*$T$7+G57*$T$8</f>
        <v>0</v>
      </c>
      <c r="J57" s="3"/>
      <c r="K57" s="216"/>
      <c r="L57" s="3"/>
      <c r="M57" s="3" t="e">
        <f>L57-#REF!</f>
        <v>#REF!</v>
      </c>
      <c r="N57" s="14" t="e">
        <f t="shared" si="30"/>
        <v>#DIV/0!</v>
      </c>
      <c r="O57" s="14" t="e">
        <f t="shared" si="31"/>
        <v>#DIV/0!</v>
      </c>
      <c r="P57" s="14" t="e">
        <f t="shared" si="32"/>
        <v>#DIV/0!</v>
      </c>
      <c r="Q57" s="25">
        <f t="shared" si="5"/>
        <v>0</v>
      </c>
      <c r="R57" s="25">
        <f t="shared" si="6"/>
        <v>0</v>
      </c>
      <c r="S57" s="88">
        <f t="shared" si="12"/>
        <v>0</v>
      </c>
      <c r="T57" s="89">
        <f t="shared" si="15"/>
        <v>0</v>
      </c>
      <c r="U57" s="89" t="e">
        <f t="shared" si="8"/>
        <v>#DIV/0!</v>
      </c>
      <c r="V57" s="89" t="e">
        <f t="shared" si="9"/>
        <v>#DIV/0!</v>
      </c>
      <c r="W57" s="248">
        <f t="shared" si="10"/>
        <v>0</v>
      </c>
      <c r="X57" s="89">
        <f t="shared" si="11"/>
        <v>0</v>
      </c>
    </row>
    <row r="58" spans="1:24" s="163" customFormat="1" ht="34.5" customHeight="1">
      <c r="A58" s="162" t="s">
        <v>160</v>
      </c>
      <c r="B58" s="27">
        <v>24060600</v>
      </c>
      <c r="C58" s="3">
        <v>0.1</v>
      </c>
      <c r="D58" s="3">
        <v>0.6</v>
      </c>
      <c r="E58" s="25">
        <f t="shared" si="14"/>
        <v>-0.6</v>
      </c>
      <c r="F58" s="25">
        <f t="shared" si="0"/>
        <v>0</v>
      </c>
      <c r="G58" s="3"/>
      <c r="H58" s="3"/>
      <c r="I58" s="216">
        <f>G58*$T$7+G58*$T$8</f>
        <v>0</v>
      </c>
      <c r="J58" s="3"/>
      <c r="K58" s="216"/>
      <c r="L58" s="3">
        <v>0</v>
      </c>
      <c r="M58" s="121" t="e">
        <f>L58-#REF!</f>
        <v>#REF!</v>
      </c>
      <c r="N58" s="14" t="e">
        <f t="shared" si="30"/>
        <v>#DIV/0!</v>
      </c>
      <c r="O58" s="14" t="e">
        <f t="shared" si="31"/>
        <v>#DIV/0!</v>
      </c>
      <c r="P58" s="14" t="e">
        <f t="shared" si="32"/>
        <v>#DIV/0!</v>
      </c>
      <c r="Q58" s="25">
        <f t="shared" si="5"/>
        <v>0</v>
      </c>
      <c r="R58" s="25">
        <f t="shared" si="6"/>
        <v>0</v>
      </c>
      <c r="S58" s="88">
        <f t="shared" si="12"/>
        <v>0</v>
      </c>
      <c r="T58" s="89">
        <f t="shared" si="15"/>
        <v>0</v>
      </c>
      <c r="U58" s="89" t="e">
        <f t="shared" si="8"/>
        <v>#DIV/0!</v>
      </c>
      <c r="V58" s="89" t="e">
        <f t="shared" si="9"/>
        <v>#DIV/0!</v>
      </c>
      <c r="W58" s="248">
        <f t="shared" si="10"/>
        <v>0</v>
      </c>
      <c r="X58" s="89">
        <f t="shared" si="11"/>
        <v>0</v>
      </c>
    </row>
    <row r="59" spans="1:24" s="163" customFormat="1" ht="194.25" customHeight="1">
      <c r="A59" s="162" t="s">
        <v>223</v>
      </c>
      <c r="B59" s="27">
        <v>24062200</v>
      </c>
      <c r="C59" s="3">
        <v>20.2</v>
      </c>
      <c r="D59" s="3">
        <v>114.3</v>
      </c>
      <c r="E59" s="25">
        <f t="shared" si="14"/>
        <v>-65.1</v>
      </c>
      <c r="F59" s="25">
        <f t="shared" si="0"/>
        <v>43.04461942257218</v>
      </c>
      <c r="G59" s="3"/>
      <c r="H59" s="3"/>
      <c r="I59" s="216">
        <f>G59*$T$7+G59*$T$8</f>
        <v>0</v>
      </c>
      <c r="J59" s="3"/>
      <c r="K59" s="216"/>
      <c r="L59" s="3">
        <v>49.2</v>
      </c>
      <c r="M59" s="3" t="e">
        <f>L59-#REF!</f>
        <v>#REF!</v>
      </c>
      <c r="N59" s="14" t="e">
        <f t="shared" si="30"/>
        <v>#DIV/0!</v>
      </c>
      <c r="O59" s="14" t="e">
        <f t="shared" si="31"/>
        <v>#DIV/0!</v>
      </c>
      <c r="P59" s="14" t="e">
        <f t="shared" si="32"/>
        <v>#DIV/0!</v>
      </c>
      <c r="Q59" s="25">
        <f t="shared" si="5"/>
        <v>49.2</v>
      </c>
      <c r="R59" s="25">
        <f t="shared" si="6"/>
        <v>49.2</v>
      </c>
      <c r="S59" s="88">
        <f t="shared" si="12"/>
        <v>0.0030458150006636418</v>
      </c>
      <c r="T59" s="89">
        <f t="shared" si="15"/>
        <v>0</v>
      </c>
      <c r="U59" s="89" t="e">
        <f t="shared" si="8"/>
        <v>#DIV/0!</v>
      </c>
      <c r="V59" s="89" t="e">
        <f t="shared" si="9"/>
        <v>#DIV/0!</v>
      </c>
      <c r="W59" s="248">
        <f t="shared" si="10"/>
        <v>0</v>
      </c>
      <c r="X59" s="89">
        <f t="shared" si="11"/>
        <v>0</v>
      </c>
    </row>
    <row r="60" spans="1:24" s="164" customFormat="1" ht="42.75" customHeight="1" hidden="1">
      <c r="A60" s="162" t="s">
        <v>91</v>
      </c>
      <c r="B60" s="27">
        <v>24060600</v>
      </c>
      <c r="C60" s="3">
        <v>0</v>
      </c>
      <c r="D60" s="3"/>
      <c r="E60" s="6">
        <f t="shared" si="14"/>
        <v>0</v>
      </c>
      <c r="F60" s="6" t="e">
        <f t="shared" si="0"/>
        <v>#DIV/0!</v>
      </c>
      <c r="G60" s="3"/>
      <c r="H60" s="3"/>
      <c r="I60" s="216"/>
      <c r="J60" s="3"/>
      <c r="K60" s="216"/>
      <c r="L60" s="3">
        <f>K60*19/19</f>
        <v>0</v>
      </c>
      <c r="M60" s="3" t="e">
        <f>L60-#REF!</f>
        <v>#REF!</v>
      </c>
      <c r="N60" s="25" t="e">
        <f t="shared" si="30"/>
        <v>#DIV/0!</v>
      </c>
      <c r="O60" s="6" t="e">
        <f t="shared" si="31"/>
        <v>#DIV/0!</v>
      </c>
      <c r="P60" s="25" t="e">
        <f t="shared" si="32"/>
        <v>#DIV/0!</v>
      </c>
      <c r="Q60" s="6">
        <f t="shared" si="5"/>
        <v>0</v>
      </c>
      <c r="R60" s="6">
        <f t="shared" si="6"/>
        <v>0</v>
      </c>
      <c r="S60" s="88">
        <f t="shared" si="12"/>
        <v>0</v>
      </c>
      <c r="T60" s="89">
        <f t="shared" si="15"/>
        <v>0</v>
      </c>
      <c r="U60" s="89" t="e">
        <f t="shared" si="8"/>
        <v>#DIV/0!</v>
      </c>
      <c r="V60" s="89" t="e">
        <f t="shared" si="9"/>
        <v>#DIV/0!</v>
      </c>
      <c r="W60" s="248">
        <f t="shared" si="10"/>
        <v>0</v>
      </c>
      <c r="X60" s="89">
        <f t="shared" si="11"/>
        <v>0</v>
      </c>
    </row>
    <row r="61" spans="1:24" s="165" customFormat="1" ht="22.5" customHeight="1">
      <c r="A61" s="66" t="s">
        <v>92</v>
      </c>
      <c r="B61" s="67">
        <v>30000000</v>
      </c>
      <c r="C61" s="9">
        <f>C62</f>
        <v>163.9</v>
      </c>
      <c r="D61" s="9">
        <f>D62</f>
        <v>8</v>
      </c>
      <c r="E61" s="6">
        <f t="shared" si="14"/>
        <v>-4.1</v>
      </c>
      <c r="F61" s="6">
        <f t="shared" si="0"/>
        <v>48.75</v>
      </c>
      <c r="G61" s="9">
        <f aca="true" t="shared" si="34" ref="G61:M61">G62</f>
        <v>69</v>
      </c>
      <c r="H61" s="9">
        <f t="shared" si="34"/>
        <v>63.300000000000004</v>
      </c>
      <c r="I61" s="205">
        <f t="shared" si="34"/>
        <v>63.300000000000004</v>
      </c>
      <c r="J61" s="9">
        <f t="shared" si="34"/>
        <v>2.3</v>
      </c>
      <c r="K61" s="205">
        <f t="shared" si="34"/>
        <v>2.3</v>
      </c>
      <c r="L61" s="9">
        <f t="shared" si="34"/>
        <v>3.9</v>
      </c>
      <c r="M61" s="9" t="e">
        <f t="shared" si="34"/>
        <v>#REF!</v>
      </c>
      <c r="N61" s="6">
        <f t="shared" si="30"/>
        <v>5.6521739130434785</v>
      </c>
      <c r="O61" s="6">
        <f t="shared" si="31"/>
        <v>6.161137440758294</v>
      </c>
      <c r="P61" s="6">
        <f t="shared" si="32"/>
        <v>169.56521739130437</v>
      </c>
      <c r="Q61" s="6">
        <f t="shared" si="5"/>
        <v>-59.400000000000006</v>
      </c>
      <c r="R61" s="6">
        <f t="shared" si="6"/>
        <v>1.6</v>
      </c>
      <c r="S61" s="88">
        <f t="shared" si="12"/>
        <v>0.0002414365549306545</v>
      </c>
      <c r="T61" s="89">
        <f t="shared" si="15"/>
        <v>0</v>
      </c>
      <c r="U61" s="89">
        <f t="shared" si="8"/>
        <v>0</v>
      </c>
      <c r="V61" s="89">
        <f t="shared" si="9"/>
        <v>0</v>
      </c>
      <c r="W61" s="248">
        <f t="shared" si="10"/>
        <v>0</v>
      </c>
      <c r="X61" s="89">
        <f t="shared" si="11"/>
        <v>0</v>
      </c>
    </row>
    <row r="62" spans="1:24" s="165" customFormat="1" ht="31.5" customHeight="1">
      <c r="A62" s="166" t="s">
        <v>93</v>
      </c>
      <c r="B62" s="167">
        <v>31000000</v>
      </c>
      <c r="C62" s="9">
        <f>C65+C64</f>
        <v>163.9</v>
      </c>
      <c r="D62" s="9">
        <f>D65+D64</f>
        <v>8</v>
      </c>
      <c r="E62" s="6">
        <f t="shared" si="14"/>
        <v>-4.1</v>
      </c>
      <c r="F62" s="6">
        <f t="shared" si="0"/>
        <v>48.75</v>
      </c>
      <c r="G62" s="9">
        <f aca="true" t="shared" si="35" ref="G62:L62">G65+G64</f>
        <v>69</v>
      </c>
      <c r="H62" s="9">
        <f t="shared" si="35"/>
        <v>63.300000000000004</v>
      </c>
      <c r="I62" s="205">
        <f t="shared" si="35"/>
        <v>63.300000000000004</v>
      </c>
      <c r="J62" s="9">
        <f t="shared" si="35"/>
        <v>2.3</v>
      </c>
      <c r="K62" s="205">
        <f>K65+K64</f>
        <v>2.3</v>
      </c>
      <c r="L62" s="9">
        <f t="shared" si="35"/>
        <v>3.9</v>
      </c>
      <c r="M62" s="9" t="e">
        <f>M65+M64</f>
        <v>#REF!</v>
      </c>
      <c r="N62" s="6">
        <f t="shared" si="30"/>
        <v>5.6521739130434785</v>
      </c>
      <c r="O62" s="6">
        <f t="shared" si="31"/>
        <v>6.161137440758294</v>
      </c>
      <c r="P62" s="6">
        <f t="shared" si="32"/>
        <v>169.56521739130437</v>
      </c>
      <c r="Q62" s="6">
        <f t="shared" si="5"/>
        <v>-59.400000000000006</v>
      </c>
      <c r="R62" s="6">
        <f t="shared" si="6"/>
        <v>1.6</v>
      </c>
      <c r="S62" s="88">
        <f t="shared" si="12"/>
        <v>0.0002414365549306545</v>
      </c>
      <c r="T62" s="89">
        <f t="shared" si="15"/>
        <v>0</v>
      </c>
      <c r="U62" s="89">
        <f t="shared" si="8"/>
        <v>0</v>
      </c>
      <c r="V62" s="89">
        <f t="shared" si="9"/>
        <v>0</v>
      </c>
      <c r="W62" s="248">
        <f t="shared" si="10"/>
        <v>0</v>
      </c>
      <c r="X62" s="89">
        <f t="shared" si="11"/>
        <v>0</v>
      </c>
    </row>
    <row r="63" spans="1:24" s="164" customFormat="1" ht="111" customHeight="1">
      <c r="A63" s="168" t="s">
        <v>94</v>
      </c>
      <c r="B63" s="27">
        <v>31010000</v>
      </c>
      <c r="C63" s="3">
        <f>C64</f>
        <v>160.1</v>
      </c>
      <c r="D63" s="3">
        <f>D64</f>
        <v>0.8</v>
      </c>
      <c r="E63" s="25">
        <f t="shared" si="14"/>
        <v>-0.8</v>
      </c>
      <c r="F63" s="25">
        <f t="shared" si="0"/>
        <v>0</v>
      </c>
      <c r="G63" s="3">
        <f aca="true" t="shared" si="36" ref="G63:M63">G64</f>
        <v>65</v>
      </c>
      <c r="H63" s="3">
        <f t="shared" si="36"/>
        <v>59.6</v>
      </c>
      <c r="I63" s="216">
        <f t="shared" si="36"/>
        <v>59.6</v>
      </c>
      <c r="J63" s="3">
        <f t="shared" si="36"/>
        <v>0</v>
      </c>
      <c r="K63" s="216">
        <f t="shared" si="36"/>
        <v>0</v>
      </c>
      <c r="L63" s="3">
        <f t="shared" si="36"/>
        <v>0</v>
      </c>
      <c r="M63" s="121" t="e">
        <f t="shared" si="36"/>
        <v>#REF!</v>
      </c>
      <c r="N63" s="25">
        <f t="shared" si="30"/>
        <v>0</v>
      </c>
      <c r="O63" s="25">
        <f t="shared" si="31"/>
        <v>0</v>
      </c>
      <c r="P63" s="25" t="e">
        <f t="shared" si="32"/>
        <v>#DIV/0!</v>
      </c>
      <c r="Q63" s="25">
        <f t="shared" si="5"/>
        <v>-59.6</v>
      </c>
      <c r="R63" s="25">
        <f t="shared" si="6"/>
        <v>0</v>
      </c>
      <c r="S63" s="88">
        <f t="shared" si="12"/>
        <v>0</v>
      </c>
      <c r="T63" s="89">
        <f t="shared" si="15"/>
        <v>0</v>
      </c>
      <c r="U63" s="89">
        <f t="shared" si="8"/>
        <v>0</v>
      </c>
      <c r="V63" s="89">
        <f t="shared" si="9"/>
        <v>0</v>
      </c>
      <c r="W63" s="248">
        <f t="shared" si="10"/>
        <v>0</v>
      </c>
      <c r="X63" s="89">
        <f t="shared" si="11"/>
        <v>0</v>
      </c>
    </row>
    <row r="64" spans="1:24" s="171" customFormat="1" ht="95.25" customHeight="1">
      <c r="A64" s="169" t="s">
        <v>95</v>
      </c>
      <c r="B64" s="170">
        <v>31010200</v>
      </c>
      <c r="C64" s="8">
        <v>160.1</v>
      </c>
      <c r="D64" s="8">
        <v>0.8</v>
      </c>
      <c r="E64" s="25">
        <f t="shared" si="14"/>
        <v>-0.8</v>
      </c>
      <c r="F64" s="25">
        <f t="shared" si="0"/>
        <v>0</v>
      </c>
      <c r="G64" s="8">
        <v>65</v>
      </c>
      <c r="H64" s="8">
        <f>ROUND(G64*$T$6,1)</f>
        <v>59.6</v>
      </c>
      <c r="I64" s="219">
        <f>ROUND((G64*$T$7+G64*$T$8),1)</f>
        <v>59.6</v>
      </c>
      <c r="J64" s="8">
        <v>0</v>
      </c>
      <c r="K64" s="217">
        <v>0</v>
      </c>
      <c r="L64" s="8">
        <v>0</v>
      </c>
      <c r="M64" s="121" t="e">
        <f>L64-#REF!</f>
        <v>#REF!</v>
      </c>
      <c r="N64" s="36">
        <f t="shared" si="30"/>
        <v>0</v>
      </c>
      <c r="O64" s="25">
        <f t="shared" si="31"/>
        <v>0</v>
      </c>
      <c r="P64" s="36" t="e">
        <f t="shared" si="32"/>
        <v>#DIV/0!</v>
      </c>
      <c r="Q64" s="25">
        <f t="shared" si="5"/>
        <v>-59.6</v>
      </c>
      <c r="R64" s="25">
        <f t="shared" si="6"/>
        <v>0</v>
      </c>
      <c r="S64" s="88">
        <f t="shared" si="12"/>
        <v>0</v>
      </c>
      <c r="T64" s="89">
        <f t="shared" si="15"/>
        <v>0</v>
      </c>
      <c r="U64" s="89">
        <f t="shared" si="8"/>
        <v>0</v>
      </c>
      <c r="V64" s="89">
        <f t="shared" si="9"/>
        <v>0</v>
      </c>
      <c r="W64" s="248">
        <f t="shared" si="10"/>
        <v>0</v>
      </c>
      <c r="X64" s="89">
        <f t="shared" si="11"/>
        <v>0</v>
      </c>
    </row>
    <row r="65" spans="1:24" s="164" customFormat="1" ht="52.5" customHeight="1">
      <c r="A65" s="168" t="s">
        <v>96</v>
      </c>
      <c r="B65" s="172">
        <v>31020000</v>
      </c>
      <c r="C65" s="3">
        <v>3.8</v>
      </c>
      <c r="D65" s="3">
        <v>7.2</v>
      </c>
      <c r="E65" s="25">
        <f t="shared" si="14"/>
        <v>-3.3000000000000003</v>
      </c>
      <c r="F65" s="25">
        <f t="shared" si="0"/>
        <v>54.166666666666664</v>
      </c>
      <c r="G65" s="3">
        <v>4</v>
      </c>
      <c r="H65" s="3">
        <f>ROUND(G65*$T$6,1)</f>
        <v>3.7</v>
      </c>
      <c r="I65" s="219">
        <f>ROUND((G65*$T$7+G65*$T$8),1)</f>
        <v>3.7</v>
      </c>
      <c r="J65" s="3">
        <v>2.3</v>
      </c>
      <c r="K65" s="216">
        <v>2.3</v>
      </c>
      <c r="L65" s="3">
        <v>3.9</v>
      </c>
      <c r="M65" s="3" t="e">
        <f>L65-#REF!</f>
        <v>#REF!</v>
      </c>
      <c r="N65" s="25">
        <f t="shared" si="30"/>
        <v>97.5</v>
      </c>
      <c r="O65" s="25">
        <f t="shared" si="31"/>
        <v>105.40540540540539</v>
      </c>
      <c r="P65" s="25">
        <f t="shared" si="32"/>
        <v>169.56521739130437</v>
      </c>
      <c r="Q65" s="3">
        <f t="shared" si="5"/>
        <v>0.19999999999999973</v>
      </c>
      <c r="R65" s="3">
        <f t="shared" si="6"/>
        <v>1.6</v>
      </c>
      <c r="S65" s="88">
        <f t="shared" si="12"/>
        <v>0.0002414365549306545</v>
      </c>
      <c r="T65" s="89">
        <f t="shared" si="15"/>
        <v>0</v>
      </c>
      <c r="U65" s="89">
        <f t="shared" si="8"/>
        <v>0</v>
      </c>
      <c r="V65" s="89">
        <f t="shared" si="9"/>
        <v>0</v>
      </c>
      <c r="W65" s="248">
        <f t="shared" si="10"/>
        <v>0</v>
      </c>
      <c r="X65" s="89">
        <f t="shared" si="11"/>
        <v>0</v>
      </c>
    </row>
    <row r="66" spans="1:24" s="224" customFormat="1" ht="26.25" customHeight="1">
      <c r="A66" s="208" t="s">
        <v>97</v>
      </c>
      <c r="B66" s="204"/>
      <c r="C66" s="205">
        <f>C8+C35+C61</f>
        <v>1064615.9</v>
      </c>
      <c r="D66" s="205">
        <f>D8+D35+D61</f>
        <v>1313714.4000000001</v>
      </c>
      <c r="E66" s="205">
        <f t="shared" si="14"/>
        <v>301616.7999999996</v>
      </c>
      <c r="F66" s="205">
        <f t="shared" si="0"/>
        <v>122.95908456206308</v>
      </c>
      <c r="G66" s="205">
        <f aca="true" t="shared" si="37" ref="G66:M66">G8+G35+G61</f>
        <v>1338506.65</v>
      </c>
      <c r="H66" s="205">
        <f t="shared" si="37"/>
        <v>1226964.5</v>
      </c>
      <c r="I66" s="205">
        <f t="shared" si="37"/>
        <v>1226964.5</v>
      </c>
      <c r="J66" s="205">
        <f t="shared" si="37"/>
        <v>762223.9</v>
      </c>
      <c r="K66" s="205">
        <f t="shared" si="37"/>
        <v>683491.1000000001</v>
      </c>
      <c r="L66" s="205">
        <f>L8+L35+L61</f>
        <v>1615331.1999999997</v>
      </c>
      <c r="M66" s="205" t="e">
        <f t="shared" si="37"/>
        <v>#REF!</v>
      </c>
      <c r="N66" s="205">
        <f t="shared" si="30"/>
        <v>120.68159691249944</v>
      </c>
      <c r="O66" s="203">
        <f t="shared" si="31"/>
        <v>131.6526435768924</v>
      </c>
      <c r="P66" s="205">
        <f t="shared" si="32"/>
        <v>236.3353670589126</v>
      </c>
      <c r="Q66" s="203">
        <f>L66-I66</f>
        <v>388366.6999999997</v>
      </c>
      <c r="R66" s="203">
        <f t="shared" si="6"/>
        <v>931840.0999999996</v>
      </c>
      <c r="S66" s="116">
        <f t="shared" si="12"/>
        <v>100</v>
      </c>
      <c r="T66" s="117">
        <f t="shared" si="15"/>
        <v>0</v>
      </c>
      <c r="U66" s="117">
        <f t="shared" si="8"/>
        <v>0</v>
      </c>
      <c r="V66" s="117">
        <f t="shared" si="9"/>
        <v>0</v>
      </c>
      <c r="W66" s="248">
        <f t="shared" si="10"/>
        <v>0</v>
      </c>
      <c r="X66" s="89">
        <f t="shared" si="11"/>
        <v>78732.79999999993</v>
      </c>
    </row>
    <row r="67" spans="1:24" s="224" customFormat="1" ht="23.25" customHeight="1">
      <c r="A67" s="206" t="s">
        <v>98</v>
      </c>
      <c r="B67" s="204">
        <v>40000000</v>
      </c>
      <c r="C67" s="205">
        <f>C68</f>
        <v>1218627.5</v>
      </c>
      <c r="D67" s="205">
        <f>D68</f>
        <v>1388034.8758999999</v>
      </c>
      <c r="E67" s="205">
        <f t="shared" si="14"/>
        <v>-1080204.4759</v>
      </c>
      <c r="F67" s="205">
        <f t="shared" si="0"/>
        <v>22.177425462771833</v>
      </c>
      <c r="G67" s="205">
        <f aca="true" t="shared" si="38" ref="G67:M67">G68</f>
        <v>1399513.9000000001</v>
      </c>
      <c r="H67" s="205">
        <f t="shared" si="38"/>
        <v>1282887.7000000002</v>
      </c>
      <c r="I67" s="205">
        <f t="shared" si="38"/>
        <v>1282887.7000000002</v>
      </c>
      <c r="J67" s="205">
        <f t="shared" si="38"/>
        <v>1424230.4000000001</v>
      </c>
      <c r="K67" s="205">
        <f t="shared" si="38"/>
        <v>1398705.5</v>
      </c>
      <c r="L67" s="205">
        <f t="shared" si="38"/>
        <v>307830.39999999997</v>
      </c>
      <c r="M67" s="205" t="e">
        <f t="shared" si="38"/>
        <v>#REF!</v>
      </c>
      <c r="N67" s="205">
        <f t="shared" si="30"/>
        <v>21.995522874049335</v>
      </c>
      <c r="O67" s="203">
        <f t="shared" si="31"/>
        <v>23.9951166419321</v>
      </c>
      <c r="P67" s="205">
        <f t="shared" si="32"/>
        <v>22.008235472013226</v>
      </c>
      <c r="Q67" s="203">
        <f t="shared" si="5"/>
        <v>-975057.3000000003</v>
      </c>
      <c r="R67" s="203">
        <f t="shared" si="6"/>
        <v>-1090875.1</v>
      </c>
      <c r="S67" s="116">
        <f aca="true" t="shared" si="39" ref="S67:S139">L67-I67-Q67</f>
        <v>0</v>
      </c>
      <c r="T67" s="117">
        <f t="shared" si="15"/>
        <v>0</v>
      </c>
      <c r="U67" s="117">
        <f t="shared" si="8"/>
        <v>0</v>
      </c>
      <c r="V67" s="117">
        <f t="shared" si="9"/>
        <v>0</v>
      </c>
      <c r="W67" s="248">
        <f t="shared" si="10"/>
        <v>0</v>
      </c>
      <c r="X67" s="89">
        <f t="shared" si="11"/>
        <v>25524.90000000014</v>
      </c>
    </row>
    <row r="68" spans="1:24" s="147" customFormat="1" ht="32.25" customHeight="1">
      <c r="A68" s="146" t="s">
        <v>99</v>
      </c>
      <c r="B68" s="43">
        <v>41000000</v>
      </c>
      <c r="C68" s="9">
        <f>C83+C81</f>
        <v>1218627.5</v>
      </c>
      <c r="D68" s="9">
        <f>D83+D81</f>
        <v>1388034.8758999999</v>
      </c>
      <c r="E68" s="9">
        <f>E83+E81</f>
        <v>-1080204.4759</v>
      </c>
      <c r="F68" s="6">
        <f t="shared" si="0"/>
        <v>22.177425462771833</v>
      </c>
      <c r="G68" s="9">
        <f aca="true" t="shared" si="40" ref="G68:M68">G81+G83</f>
        <v>1399513.9000000001</v>
      </c>
      <c r="H68" s="9">
        <f t="shared" si="40"/>
        <v>1282887.7000000002</v>
      </c>
      <c r="I68" s="205">
        <f t="shared" si="40"/>
        <v>1282887.7000000002</v>
      </c>
      <c r="J68" s="9">
        <f t="shared" si="40"/>
        <v>1424230.4000000001</v>
      </c>
      <c r="K68" s="205">
        <f t="shared" si="40"/>
        <v>1398705.5</v>
      </c>
      <c r="L68" s="9">
        <f t="shared" si="40"/>
        <v>307830.39999999997</v>
      </c>
      <c r="M68" s="9" t="e">
        <f t="shared" si="40"/>
        <v>#REF!</v>
      </c>
      <c r="N68" s="9">
        <f t="shared" si="30"/>
        <v>21.995522874049335</v>
      </c>
      <c r="O68" s="6">
        <f t="shared" si="31"/>
        <v>23.9951166419321</v>
      </c>
      <c r="P68" s="9">
        <f t="shared" si="32"/>
        <v>22.008235472013226</v>
      </c>
      <c r="Q68" s="6">
        <f t="shared" si="5"/>
        <v>-975057.3000000003</v>
      </c>
      <c r="R68" s="6">
        <f t="shared" si="6"/>
        <v>-1090875.1</v>
      </c>
      <c r="S68" s="88">
        <f t="shared" si="39"/>
        <v>0</v>
      </c>
      <c r="T68" s="89">
        <f t="shared" si="15"/>
        <v>0</v>
      </c>
      <c r="U68" s="89">
        <f t="shared" si="8"/>
        <v>0</v>
      </c>
      <c r="V68" s="89">
        <f t="shared" si="9"/>
        <v>0</v>
      </c>
      <c r="W68" s="248">
        <f t="shared" si="10"/>
        <v>0</v>
      </c>
      <c r="X68" s="89">
        <f t="shared" si="11"/>
        <v>25524.90000000014</v>
      </c>
    </row>
    <row r="69" spans="1:24" s="92" customFormat="1" ht="42.75" customHeight="1" hidden="1">
      <c r="A69" s="162" t="s">
        <v>114</v>
      </c>
      <c r="B69" s="27">
        <v>41010100</v>
      </c>
      <c r="C69" s="3"/>
      <c r="D69" s="3"/>
      <c r="E69" s="6">
        <f t="shared" si="14"/>
        <v>0</v>
      </c>
      <c r="F69" s="14" t="e">
        <f t="shared" si="0"/>
        <v>#DIV/0!</v>
      </c>
      <c r="G69" s="3"/>
      <c r="H69" s="3">
        <f>G69/12*5</f>
        <v>0</v>
      </c>
      <c r="I69" s="216">
        <f>G69/12*4+G69/12*3/19</f>
        <v>0</v>
      </c>
      <c r="J69" s="3">
        <f>H69/12*4+H69/12*3/19</f>
        <v>0</v>
      </c>
      <c r="K69" s="216">
        <f>I69/12*4+I69/12*3/19</f>
        <v>0</v>
      </c>
      <c r="L69" s="3"/>
      <c r="M69" s="3"/>
      <c r="N69" s="9" t="e">
        <f t="shared" si="30"/>
        <v>#DIV/0!</v>
      </c>
      <c r="O69" s="6" t="e">
        <f t="shared" si="31"/>
        <v>#DIV/0!</v>
      </c>
      <c r="P69" s="9" t="e">
        <f t="shared" si="32"/>
        <v>#DIV/0!</v>
      </c>
      <c r="Q69" s="6">
        <f t="shared" si="5"/>
        <v>0</v>
      </c>
      <c r="R69" s="6">
        <f t="shared" si="6"/>
        <v>0</v>
      </c>
      <c r="S69" s="88">
        <f t="shared" si="39"/>
        <v>0</v>
      </c>
      <c r="T69" s="89">
        <f t="shared" si="15"/>
        <v>0</v>
      </c>
      <c r="U69" s="89" t="e">
        <f t="shared" si="8"/>
        <v>#DIV/0!</v>
      </c>
      <c r="V69" s="89" t="e">
        <f t="shared" si="9"/>
        <v>#DIV/0!</v>
      </c>
      <c r="W69" s="248">
        <f t="shared" si="10"/>
        <v>0</v>
      </c>
      <c r="X69" s="89">
        <f t="shared" si="11"/>
        <v>0</v>
      </c>
    </row>
    <row r="70" spans="1:24" s="147" customFormat="1" ht="27" customHeight="1" hidden="1">
      <c r="A70" s="149" t="s">
        <v>100</v>
      </c>
      <c r="B70" s="43">
        <v>41020000</v>
      </c>
      <c r="C70" s="9">
        <v>0</v>
      </c>
      <c r="D70" s="9">
        <f>SUM(D71:D80)</f>
        <v>0</v>
      </c>
      <c r="E70" s="6">
        <f t="shared" si="14"/>
        <v>0</v>
      </c>
      <c r="F70" s="50"/>
      <c r="G70" s="9">
        <f>SUM(G71:G80)</f>
        <v>0</v>
      </c>
      <c r="H70" s="9">
        <f>G70/12</f>
        <v>0</v>
      </c>
      <c r="I70" s="205">
        <f>G70/12*10+G70/12*19/21</f>
        <v>0</v>
      </c>
      <c r="J70" s="9">
        <f>SUM(J71:J80)</f>
        <v>0</v>
      </c>
      <c r="K70" s="205">
        <f>SUM(K71:K80)</f>
        <v>0</v>
      </c>
      <c r="L70" s="9">
        <f>SUM(L71:L80)</f>
        <v>0</v>
      </c>
      <c r="M70" s="9">
        <f>SUM(M71:M80)</f>
        <v>0</v>
      </c>
      <c r="N70" s="9" t="e">
        <f t="shared" si="30"/>
        <v>#DIV/0!</v>
      </c>
      <c r="O70" s="6" t="e">
        <f t="shared" si="31"/>
        <v>#DIV/0!</v>
      </c>
      <c r="P70" s="9" t="e">
        <f t="shared" si="32"/>
        <v>#DIV/0!</v>
      </c>
      <c r="Q70" s="6">
        <f t="shared" si="5"/>
        <v>0</v>
      </c>
      <c r="R70" s="6">
        <f t="shared" si="6"/>
        <v>0</v>
      </c>
      <c r="S70" s="88">
        <f t="shared" si="39"/>
        <v>0</v>
      </c>
      <c r="T70" s="89">
        <f t="shared" si="15"/>
        <v>0</v>
      </c>
      <c r="U70" s="89" t="e">
        <f t="shared" si="8"/>
        <v>#DIV/0!</v>
      </c>
      <c r="V70" s="89" t="e">
        <f t="shared" si="9"/>
        <v>#DIV/0!</v>
      </c>
      <c r="W70" s="248">
        <f t="shared" si="10"/>
        <v>0</v>
      </c>
      <c r="X70" s="89">
        <f t="shared" si="11"/>
        <v>0</v>
      </c>
    </row>
    <row r="71" spans="1:24" s="92" customFormat="1" ht="39.75" customHeight="1" hidden="1">
      <c r="A71" s="26" t="s">
        <v>137</v>
      </c>
      <c r="B71" s="27">
        <v>41020100</v>
      </c>
      <c r="C71" s="3"/>
      <c r="D71" s="3"/>
      <c r="E71" s="6">
        <f t="shared" si="14"/>
        <v>0</v>
      </c>
      <c r="F71" s="14" t="e">
        <f aca="true" t="shared" si="41" ref="F71:F136">L71/D71*100</f>
        <v>#DIV/0!</v>
      </c>
      <c r="G71" s="3"/>
      <c r="H71" s="3">
        <f>G71/12</f>
        <v>0</v>
      </c>
      <c r="I71" s="216">
        <f>G71/12*10+G71/12*19/21</f>
        <v>0</v>
      </c>
      <c r="J71" s="3"/>
      <c r="K71" s="216"/>
      <c r="L71" s="3"/>
      <c r="M71" s="3"/>
      <c r="N71" s="9" t="e">
        <f t="shared" si="30"/>
        <v>#DIV/0!</v>
      </c>
      <c r="O71" s="6" t="e">
        <f t="shared" si="31"/>
        <v>#DIV/0!</v>
      </c>
      <c r="P71" s="9" t="e">
        <f t="shared" si="32"/>
        <v>#DIV/0!</v>
      </c>
      <c r="Q71" s="6">
        <f t="shared" si="5"/>
        <v>0</v>
      </c>
      <c r="R71" s="6">
        <f t="shared" si="6"/>
        <v>0</v>
      </c>
      <c r="S71" s="88">
        <f t="shared" si="39"/>
        <v>0</v>
      </c>
      <c r="T71" s="89">
        <f t="shared" si="15"/>
        <v>0</v>
      </c>
      <c r="U71" s="89" t="e">
        <f t="shared" si="8"/>
        <v>#DIV/0!</v>
      </c>
      <c r="V71" s="89" t="e">
        <f t="shared" si="9"/>
        <v>#DIV/0!</v>
      </c>
      <c r="W71" s="248">
        <f t="shared" si="10"/>
        <v>0</v>
      </c>
      <c r="X71" s="89">
        <f t="shared" si="11"/>
        <v>0</v>
      </c>
    </row>
    <row r="72" spans="1:24" s="92" customFormat="1" ht="58.5" customHeight="1" hidden="1">
      <c r="A72" s="173" t="s">
        <v>101</v>
      </c>
      <c r="B72" s="30">
        <v>41020600</v>
      </c>
      <c r="C72" s="3"/>
      <c r="D72" s="3"/>
      <c r="E72" s="6">
        <f t="shared" si="14"/>
        <v>0</v>
      </c>
      <c r="F72" s="14" t="e">
        <f t="shared" si="41"/>
        <v>#DIV/0!</v>
      </c>
      <c r="G72" s="3"/>
      <c r="H72" s="3">
        <f>G72/12</f>
        <v>0</v>
      </c>
      <c r="I72" s="216">
        <f>G72/12*10+G72/12*19/21</f>
        <v>0</v>
      </c>
      <c r="J72" s="3"/>
      <c r="K72" s="216"/>
      <c r="L72" s="3"/>
      <c r="M72" s="3"/>
      <c r="N72" s="9" t="e">
        <f t="shared" si="30"/>
        <v>#DIV/0!</v>
      </c>
      <c r="O72" s="6" t="e">
        <f t="shared" si="31"/>
        <v>#DIV/0!</v>
      </c>
      <c r="P72" s="9" t="e">
        <f t="shared" si="32"/>
        <v>#DIV/0!</v>
      </c>
      <c r="Q72" s="6">
        <f t="shared" si="5"/>
        <v>0</v>
      </c>
      <c r="R72" s="6">
        <f t="shared" si="6"/>
        <v>0</v>
      </c>
      <c r="S72" s="88">
        <f t="shared" si="39"/>
        <v>0</v>
      </c>
      <c r="T72" s="89">
        <f t="shared" si="15"/>
        <v>0</v>
      </c>
      <c r="U72" s="89" t="e">
        <f t="shared" si="8"/>
        <v>#DIV/0!</v>
      </c>
      <c r="V72" s="89" t="e">
        <f t="shared" si="9"/>
        <v>#DIV/0!</v>
      </c>
      <c r="W72" s="248">
        <f t="shared" si="10"/>
        <v>0</v>
      </c>
      <c r="X72" s="89">
        <f t="shared" si="11"/>
        <v>0</v>
      </c>
    </row>
    <row r="73" spans="1:24" s="92" customFormat="1" ht="42.75" customHeight="1" hidden="1">
      <c r="A73" s="173" t="s">
        <v>102</v>
      </c>
      <c r="B73" s="30">
        <v>41020900</v>
      </c>
      <c r="C73" s="3"/>
      <c r="D73" s="3"/>
      <c r="E73" s="6">
        <f t="shared" si="14"/>
        <v>0</v>
      </c>
      <c r="F73" s="14" t="e">
        <f t="shared" si="41"/>
        <v>#DIV/0!</v>
      </c>
      <c r="G73" s="3"/>
      <c r="H73" s="3">
        <f aca="true" t="shared" si="42" ref="H73:H80">G73/12*11</f>
        <v>0</v>
      </c>
      <c r="I73" s="216">
        <f>G73/12*11+G73/12*9/23</f>
        <v>0</v>
      </c>
      <c r="J73" s="3"/>
      <c r="K73" s="216"/>
      <c r="L73" s="3"/>
      <c r="M73" s="3"/>
      <c r="N73" s="9" t="e">
        <f t="shared" si="30"/>
        <v>#DIV/0!</v>
      </c>
      <c r="O73" s="6" t="e">
        <f t="shared" si="31"/>
        <v>#DIV/0!</v>
      </c>
      <c r="P73" s="9" t="e">
        <f t="shared" si="32"/>
        <v>#DIV/0!</v>
      </c>
      <c r="Q73" s="6">
        <f t="shared" si="5"/>
        <v>0</v>
      </c>
      <c r="R73" s="6">
        <f t="shared" si="6"/>
        <v>0</v>
      </c>
      <c r="S73" s="88">
        <f t="shared" si="39"/>
        <v>0</v>
      </c>
      <c r="T73" s="89">
        <f t="shared" si="15"/>
        <v>0</v>
      </c>
      <c r="U73" s="89" t="e">
        <f t="shared" si="8"/>
        <v>#DIV/0!</v>
      </c>
      <c r="V73" s="89" t="e">
        <f t="shared" si="9"/>
        <v>#DIV/0!</v>
      </c>
      <c r="W73" s="248">
        <f t="shared" si="10"/>
        <v>0</v>
      </c>
      <c r="X73" s="89">
        <f t="shared" si="11"/>
        <v>0</v>
      </c>
    </row>
    <row r="74" spans="1:24" s="92" customFormat="1" ht="42.75" customHeight="1" hidden="1">
      <c r="A74" s="173" t="s">
        <v>112</v>
      </c>
      <c r="B74" s="30">
        <v>41021100</v>
      </c>
      <c r="C74" s="3"/>
      <c r="D74" s="3"/>
      <c r="E74" s="6">
        <f t="shared" si="14"/>
        <v>0</v>
      </c>
      <c r="F74" s="50" t="e">
        <f t="shared" si="41"/>
        <v>#DIV/0!</v>
      </c>
      <c r="G74" s="3"/>
      <c r="H74" s="3">
        <f t="shared" si="42"/>
        <v>0</v>
      </c>
      <c r="I74" s="216">
        <f>G74/12*11+G74/12*9/23</f>
        <v>0</v>
      </c>
      <c r="J74" s="3"/>
      <c r="K74" s="216"/>
      <c r="L74" s="3"/>
      <c r="M74" s="3"/>
      <c r="N74" s="9" t="e">
        <f t="shared" si="30"/>
        <v>#DIV/0!</v>
      </c>
      <c r="O74" s="6" t="e">
        <f t="shared" si="31"/>
        <v>#DIV/0!</v>
      </c>
      <c r="P74" s="9" t="e">
        <f t="shared" si="32"/>
        <v>#DIV/0!</v>
      </c>
      <c r="Q74" s="6">
        <f aca="true" t="shared" si="43" ref="Q74:Q136">L74-I74</f>
        <v>0</v>
      </c>
      <c r="R74" s="6">
        <f aca="true" t="shared" si="44" ref="R74:R136">L74-K74</f>
        <v>0</v>
      </c>
      <c r="S74" s="88">
        <f t="shared" si="39"/>
        <v>0</v>
      </c>
      <c r="T74" s="89">
        <f t="shared" si="15"/>
        <v>0</v>
      </c>
      <c r="U74" s="89" t="e">
        <f t="shared" si="8"/>
        <v>#DIV/0!</v>
      </c>
      <c r="V74" s="89" t="e">
        <f t="shared" si="9"/>
        <v>#DIV/0!</v>
      </c>
      <c r="W74" s="248">
        <f aca="true" t="shared" si="45" ref="W74:W137">H74-I74</f>
        <v>0</v>
      </c>
      <c r="X74" s="89">
        <f aca="true" t="shared" si="46" ref="X74:X137">J74-K74</f>
        <v>0</v>
      </c>
    </row>
    <row r="75" spans="1:24" s="92" customFormat="1" ht="42.75" customHeight="1" hidden="1">
      <c r="A75" s="173" t="s">
        <v>103</v>
      </c>
      <c r="B75" s="30">
        <v>41021200</v>
      </c>
      <c r="C75" s="3"/>
      <c r="D75" s="3"/>
      <c r="E75" s="6">
        <f t="shared" si="14"/>
        <v>0</v>
      </c>
      <c r="F75" s="50" t="e">
        <f t="shared" si="41"/>
        <v>#DIV/0!</v>
      </c>
      <c r="G75" s="3"/>
      <c r="H75" s="3">
        <f t="shared" si="42"/>
        <v>0</v>
      </c>
      <c r="I75" s="216">
        <f>G75/12*11+G75/12*9/23</f>
        <v>0</v>
      </c>
      <c r="J75" s="3"/>
      <c r="K75" s="216"/>
      <c r="L75" s="3"/>
      <c r="M75" s="3"/>
      <c r="N75" s="9" t="e">
        <f t="shared" si="30"/>
        <v>#DIV/0!</v>
      </c>
      <c r="O75" s="6" t="e">
        <f t="shared" si="31"/>
        <v>#DIV/0!</v>
      </c>
      <c r="P75" s="9" t="e">
        <f t="shared" si="32"/>
        <v>#DIV/0!</v>
      </c>
      <c r="Q75" s="6">
        <f t="shared" si="43"/>
        <v>0</v>
      </c>
      <c r="R75" s="6">
        <f t="shared" si="44"/>
        <v>0</v>
      </c>
      <c r="S75" s="88">
        <f t="shared" si="39"/>
        <v>0</v>
      </c>
      <c r="T75" s="89">
        <f t="shared" si="15"/>
        <v>0</v>
      </c>
      <c r="U75" s="89" t="e">
        <f aca="true" t="shared" si="47" ref="U75:U147">L75/G75*100-N75</f>
        <v>#DIV/0!</v>
      </c>
      <c r="V75" s="89" t="e">
        <f aca="true" t="shared" si="48" ref="V75:V147">L75/I75*100-O75</f>
        <v>#DIV/0!</v>
      </c>
      <c r="W75" s="248">
        <f t="shared" si="45"/>
        <v>0</v>
      </c>
      <c r="X75" s="89">
        <f t="shared" si="46"/>
        <v>0</v>
      </c>
    </row>
    <row r="76" spans="1:24" s="92" customFormat="1" ht="42.75" customHeight="1" hidden="1">
      <c r="A76" s="173" t="s">
        <v>110</v>
      </c>
      <c r="B76" s="30">
        <v>41021300</v>
      </c>
      <c r="C76" s="3"/>
      <c r="D76" s="3"/>
      <c r="E76" s="6">
        <f t="shared" si="14"/>
        <v>0</v>
      </c>
      <c r="F76" s="14" t="e">
        <f t="shared" si="41"/>
        <v>#DIV/0!</v>
      </c>
      <c r="G76" s="3"/>
      <c r="H76" s="3">
        <f t="shared" si="42"/>
        <v>0</v>
      </c>
      <c r="I76" s="216">
        <f>G76/12*11+G76/12*9/23</f>
        <v>0</v>
      </c>
      <c r="J76" s="3"/>
      <c r="K76" s="216"/>
      <c r="L76" s="3"/>
      <c r="M76" s="3"/>
      <c r="N76" s="9" t="e">
        <f t="shared" si="30"/>
        <v>#DIV/0!</v>
      </c>
      <c r="O76" s="6" t="e">
        <f t="shared" si="31"/>
        <v>#DIV/0!</v>
      </c>
      <c r="P76" s="9" t="e">
        <f t="shared" si="32"/>
        <v>#DIV/0!</v>
      </c>
      <c r="Q76" s="6">
        <f t="shared" si="43"/>
        <v>0</v>
      </c>
      <c r="R76" s="6">
        <f t="shared" si="44"/>
        <v>0</v>
      </c>
      <c r="S76" s="88">
        <f t="shared" si="39"/>
        <v>0</v>
      </c>
      <c r="T76" s="89">
        <f t="shared" si="15"/>
        <v>0</v>
      </c>
      <c r="U76" s="89" t="e">
        <f t="shared" si="47"/>
        <v>#DIV/0!</v>
      </c>
      <c r="V76" s="89" t="e">
        <f t="shared" si="48"/>
        <v>#DIV/0!</v>
      </c>
      <c r="W76" s="248">
        <f t="shared" si="45"/>
        <v>0</v>
      </c>
      <c r="X76" s="89">
        <f t="shared" si="46"/>
        <v>0</v>
      </c>
    </row>
    <row r="77" spans="1:24" s="92" customFormat="1" ht="42.75" customHeight="1" hidden="1">
      <c r="A77" s="41" t="s">
        <v>161</v>
      </c>
      <c r="B77" s="30">
        <v>41021600</v>
      </c>
      <c r="C77" s="3"/>
      <c r="D77" s="3"/>
      <c r="E77" s="6">
        <f t="shared" si="14"/>
        <v>0</v>
      </c>
      <c r="F77" s="50" t="e">
        <f t="shared" si="41"/>
        <v>#DIV/0!</v>
      </c>
      <c r="G77" s="3"/>
      <c r="H77" s="3">
        <f t="shared" si="42"/>
        <v>0</v>
      </c>
      <c r="I77" s="216">
        <f>G77/12*11+G77/12*14/22</f>
        <v>0</v>
      </c>
      <c r="J77" s="3"/>
      <c r="K77" s="216"/>
      <c r="L77" s="3"/>
      <c r="M77" s="3"/>
      <c r="N77" s="9" t="e">
        <f t="shared" si="30"/>
        <v>#DIV/0!</v>
      </c>
      <c r="O77" s="6" t="e">
        <f t="shared" si="31"/>
        <v>#DIV/0!</v>
      </c>
      <c r="P77" s="9" t="e">
        <f t="shared" si="32"/>
        <v>#DIV/0!</v>
      </c>
      <c r="Q77" s="6">
        <f t="shared" si="43"/>
        <v>0</v>
      </c>
      <c r="R77" s="6">
        <f t="shared" si="44"/>
        <v>0</v>
      </c>
      <c r="S77" s="88">
        <f t="shared" si="39"/>
        <v>0</v>
      </c>
      <c r="T77" s="89">
        <f t="shared" si="15"/>
        <v>0</v>
      </c>
      <c r="U77" s="89" t="e">
        <f t="shared" si="47"/>
        <v>#DIV/0!</v>
      </c>
      <c r="V77" s="89" t="e">
        <f t="shared" si="48"/>
        <v>#DIV/0!</v>
      </c>
      <c r="W77" s="248">
        <f t="shared" si="45"/>
        <v>0</v>
      </c>
      <c r="X77" s="89">
        <f t="shared" si="46"/>
        <v>0</v>
      </c>
    </row>
    <row r="78" spans="1:24" s="92" customFormat="1" ht="42.75" customHeight="1" hidden="1">
      <c r="A78" s="41" t="s">
        <v>104</v>
      </c>
      <c r="B78" s="30">
        <v>41021700</v>
      </c>
      <c r="C78" s="3"/>
      <c r="D78" s="3"/>
      <c r="E78" s="6">
        <f t="shared" si="14"/>
        <v>0</v>
      </c>
      <c r="F78" s="50" t="e">
        <f t="shared" si="41"/>
        <v>#DIV/0!</v>
      </c>
      <c r="G78" s="3"/>
      <c r="H78" s="3">
        <f t="shared" si="42"/>
        <v>0</v>
      </c>
      <c r="I78" s="216">
        <f>G78/12*11+G78/12*14/22</f>
        <v>0</v>
      </c>
      <c r="J78" s="3"/>
      <c r="K78" s="216"/>
      <c r="L78" s="3"/>
      <c r="M78" s="3"/>
      <c r="N78" s="9" t="e">
        <f t="shared" si="30"/>
        <v>#DIV/0!</v>
      </c>
      <c r="O78" s="6" t="e">
        <f t="shared" si="31"/>
        <v>#DIV/0!</v>
      </c>
      <c r="P78" s="9" t="e">
        <f t="shared" si="32"/>
        <v>#DIV/0!</v>
      </c>
      <c r="Q78" s="6">
        <f t="shared" si="43"/>
        <v>0</v>
      </c>
      <c r="R78" s="6">
        <f t="shared" si="44"/>
        <v>0</v>
      </c>
      <c r="S78" s="88">
        <f t="shared" si="39"/>
        <v>0</v>
      </c>
      <c r="T78" s="89">
        <f aca="true" t="shared" si="49" ref="T78:T150">L78-K78-R78</f>
        <v>0</v>
      </c>
      <c r="U78" s="89" t="e">
        <f t="shared" si="47"/>
        <v>#DIV/0!</v>
      </c>
      <c r="V78" s="89" t="e">
        <f t="shared" si="48"/>
        <v>#DIV/0!</v>
      </c>
      <c r="W78" s="248">
        <f t="shared" si="45"/>
        <v>0</v>
      </c>
      <c r="X78" s="89">
        <f t="shared" si="46"/>
        <v>0</v>
      </c>
    </row>
    <row r="79" spans="1:24" s="92" customFormat="1" ht="42.75" customHeight="1" hidden="1">
      <c r="A79" s="41" t="s">
        <v>105</v>
      </c>
      <c r="B79" s="30">
        <v>41021800</v>
      </c>
      <c r="C79" s="3"/>
      <c r="D79" s="3"/>
      <c r="E79" s="6">
        <f aca="true" t="shared" si="50" ref="E79:E101">L79-D79</f>
        <v>0</v>
      </c>
      <c r="F79" s="50" t="e">
        <f t="shared" si="41"/>
        <v>#DIV/0!</v>
      </c>
      <c r="G79" s="3"/>
      <c r="H79" s="3">
        <f t="shared" si="42"/>
        <v>0</v>
      </c>
      <c r="I79" s="216">
        <f>G79/12*11+G79/12*14/22</f>
        <v>0</v>
      </c>
      <c r="J79" s="3"/>
      <c r="K79" s="216"/>
      <c r="L79" s="3"/>
      <c r="M79" s="3"/>
      <c r="N79" s="9" t="e">
        <f t="shared" si="30"/>
        <v>#DIV/0!</v>
      </c>
      <c r="O79" s="6" t="e">
        <f t="shared" si="31"/>
        <v>#DIV/0!</v>
      </c>
      <c r="P79" s="9" t="e">
        <f t="shared" si="32"/>
        <v>#DIV/0!</v>
      </c>
      <c r="Q79" s="6">
        <f t="shared" si="43"/>
        <v>0</v>
      </c>
      <c r="R79" s="6">
        <f t="shared" si="44"/>
        <v>0</v>
      </c>
      <c r="S79" s="88">
        <f t="shared" si="39"/>
        <v>0</v>
      </c>
      <c r="T79" s="89">
        <f t="shared" si="49"/>
        <v>0</v>
      </c>
      <c r="U79" s="89" t="e">
        <f t="shared" si="47"/>
        <v>#DIV/0!</v>
      </c>
      <c r="V79" s="89" t="e">
        <f t="shared" si="48"/>
        <v>#DIV/0!</v>
      </c>
      <c r="W79" s="248">
        <f t="shared" si="45"/>
        <v>0</v>
      </c>
      <c r="X79" s="89">
        <f t="shared" si="46"/>
        <v>0</v>
      </c>
    </row>
    <row r="80" spans="1:24" s="92" customFormat="1" ht="42.75" customHeight="1" hidden="1">
      <c r="A80" s="41" t="s">
        <v>225</v>
      </c>
      <c r="B80" s="30">
        <v>41021900</v>
      </c>
      <c r="C80" s="3"/>
      <c r="D80" s="3"/>
      <c r="E80" s="6">
        <f t="shared" si="50"/>
        <v>0</v>
      </c>
      <c r="F80" s="50" t="e">
        <f t="shared" si="41"/>
        <v>#DIV/0!</v>
      </c>
      <c r="G80" s="3"/>
      <c r="H80" s="3">
        <f t="shared" si="42"/>
        <v>0</v>
      </c>
      <c r="I80" s="216">
        <f>G80/12*11+G80/12*14/22</f>
        <v>0</v>
      </c>
      <c r="J80" s="3"/>
      <c r="K80" s="216"/>
      <c r="L80" s="3"/>
      <c r="M80" s="3"/>
      <c r="N80" s="9" t="e">
        <f t="shared" si="30"/>
        <v>#DIV/0!</v>
      </c>
      <c r="O80" s="6" t="e">
        <f t="shared" si="31"/>
        <v>#DIV/0!</v>
      </c>
      <c r="P80" s="9" t="e">
        <f t="shared" si="32"/>
        <v>#DIV/0!</v>
      </c>
      <c r="Q80" s="6">
        <f t="shared" si="43"/>
        <v>0</v>
      </c>
      <c r="R80" s="6">
        <f t="shared" si="44"/>
        <v>0</v>
      </c>
      <c r="S80" s="88">
        <f t="shared" si="39"/>
        <v>0</v>
      </c>
      <c r="T80" s="89">
        <f t="shared" si="49"/>
        <v>0</v>
      </c>
      <c r="U80" s="89" t="e">
        <f t="shared" si="47"/>
        <v>#DIV/0!</v>
      </c>
      <c r="V80" s="89" t="e">
        <f t="shared" si="48"/>
        <v>#DIV/0!</v>
      </c>
      <c r="W80" s="248">
        <f t="shared" si="45"/>
        <v>0</v>
      </c>
      <c r="X80" s="89">
        <f t="shared" si="46"/>
        <v>0</v>
      </c>
    </row>
    <row r="81" spans="1:24" s="147" customFormat="1" ht="27" customHeight="1">
      <c r="A81" s="174" t="s">
        <v>100</v>
      </c>
      <c r="B81" s="55">
        <v>41020000</v>
      </c>
      <c r="C81" s="9">
        <f>C82</f>
        <v>785</v>
      </c>
      <c r="D81" s="9">
        <f>D82</f>
        <v>0</v>
      </c>
      <c r="E81" s="6">
        <f>E82</f>
        <v>0</v>
      </c>
      <c r="F81" s="50"/>
      <c r="G81" s="9">
        <f aca="true" t="shared" si="51" ref="G81:M81">G82</f>
        <v>0</v>
      </c>
      <c r="H81" s="9">
        <f t="shared" si="51"/>
        <v>0</v>
      </c>
      <c r="I81" s="205">
        <f t="shared" si="51"/>
        <v>0</v>
      </c>
      <c r="J81" s="9">
        <f t="shared" si="51"/>
        <v>0</v>
      </c>
      <c r="K81" s="205">
        <f t="shared" si="51"/>
        <v>0</v>
      </c>
      <c r="L81" s="9">
        <f t="shared" si="51"/>
        <v>0</v>
      </c>
      <c r="M81" s="9">
        <f t="shared" si="51"/>
        <v>0</v>
      </c>
      <c r="N81" s="9"/>
      <c r="O81" s="6"/>
      <c r="P81" s="9"/>
      <c r="Q81" s="6">
        <f>Q82</f>
        <v>0</v>
      </c>
      <c r="R81" s="6">
        <f>R82</f>
        <v>0</v>
      </c>
      <c r="S81" s="88"/>
      <c r="T81" s="89"/>
      <c r="U81" s="89"/>
      <c r="V81" s="89"/>
      <c r="W81" s="248">
        <f t="shared" si="45"/>
        <v>0</v>
      </c>
      <c r="X81" s="89">
        <f t="shared" si="46"/>
        <v>0</v>
      </c>
    </row>
    <row r="82" spans="1:24" s="92" customFormat="1" ht="22.5" customHeight="1">
      <c r="A82" s="41" t="s">
        <v>304</v>
      </c>
      <c r="B82" s="30">
        <v>41020604</v>
      </c>
      <c r="C82" s="3">
        <v>785</v>
      </c>
      <c r="D82" s="3">
        <v>0</v>
      </c>
      <c r="E82" s="6"/>
      <c r="F82" s="50"/>
      <c r="G82" s="3"/>
      <c r="H82" s="3">
        <f>ROUND(G82*$T$6,1)</f>
        <v>0</v>
      </c>
      <c r="I82" s="216">
        <f>ROUND((G82*$T$7+G82*$T$8),1)</f>
        <v>0</v>
      </c>
      <c r="J82" s="3"/>
      <c r="K82" s="216"/>
      <c r="L82" s="3"/>
      <c r="M82" s="3">
        <f>L82</f>
        <v>0</v>
      </c>
      <c r="N82" s="175" t="e">
        <f>L82/G82*100</f>
        <v>#DIV/0!</v>
      </c>
      <c r="O82" s="110" t="e">
        <f>L82/I82*100</f>
        <v>#DIV/0!</v>
      </c>
      <c r="P82" s="175" t="e">
        <f>L82/K82*100</f>
        <v>#DIV/0!</v>
      </c>
      <c r="Q82" s="110">
        <f>L82-I82</f>
        <v>0</v>
      </c>
      <c r="R82" s="110">
        <f>L82-K82</f>
        <v>0</v>
      </c>
      <c r="S82" s="88"/>
      <c r="T82" s="89"/>
      <c r="U82" s="89"/>
      <c r="V82" s="89"/>
      <c r="W82" s="248">
        <f t="shared" si="45"/>
        <v>0</v>
      </c>
      <c r="X82" s="89">
        <f t="shared" si="46"/>
        <v>0</v>
      </c>
    </row>
    <row r="83" spans="1:24" s="147" customFormat="1" ht="22.5" customHeight="1">
      <c r="A83" s="149" t="s">
        <v>226</v>
      </c>
      <c r="B83" s="43">
        <v>41030000</v>
      </c>
      <c r="C83" s="9">
        <f>C84+C85+C86+C87+C91+C129+C134+C106+C133+C94+C132+C96+C105+C130+C131+C135+C123+C125+C128+C92+C93</f>
        <v>1217842.5</v>
      </c>
      <c r="D83" s="9">
        <f>D84+D85+D86+D87+D91+D129+D134+D106+D133+D94+D132+D96+D105+D130+D131+D135+D123+D125+D128+D92+D93</f>
        <v>1388034.8758999999</v>
      </c>
      <c r="E83" s="6">
        <f t="shared" si="50"/>
        <v>-1080204.4759</v>
      </c>
      <c r="F83" s="6">
        <f t="shared" si="41"/>
        <v>22.177425462771833</v>
      </c>
      <c r="G83" s="9">
        <f>G84+G85+G86+G87+G91+G129+G134+G106+G133+G94+G132+G96+G105+G130+G131+G135+G123+G125+G128+G92+G93</f>
        <v>1399513.9000000001</v>
      </c>
      <c r="H83" s="9">
        <f>H84+H85+H86+H87+H91+H129+H134+H106+H133+H94+H132+H96+H105+H130+H131+H135+H123+H125+H128+H92+H93</f>
        <v>1282887.7000000002</v>
      </c>
      <c r="I83" s="205">
        <f>I84+I85+I86+I87+I91+I129+I134+I106+I133+I94+I132+I96+I105+I130+I131+I135+I123+I125+I128+I92+I93</f>
        <v>1282887.7000000002</v>
      </c>
      <c r="J83" s="9">
        <f>J84+J85+J86+J87+J91+J129+J134+J106+J133+J94+J132+J96+J105+J130+J131+J135+J123+J125+J128+J92+J93</f>
        <v>1424230.4000000001</v>
      </c>
      <c r="K83" s="205">
        <f>K84+K85+K86+K87+K91+K129+K134+K106+K133+K94+K132+K96+K105+K130+K131+K135+K95+K123+K125+K128+K92+K93</f>
        <v>1398705.5</v>
      </c>
      <c r="L83" s="9">
        <f>L84+L85+L86+L87+L91+L129+L134+L106+L133+L94+L132+L96+L105+L130+L131+L135+L123+L125+L128+L92+L93</f>
        <v>307830.39999999997</v>
      </c>
      <c r="M83" s="9" t="e">
        <f>M84+M85+M86+M87+M91+M129+M134+M106+M133+M94+M132+M96+M105+M130+M131+M135+M123+M125+M128+M92+M93</f>
        <v>#REF!</v>
      </c>
      <c r="N83" s="9">
        <f t="shared" si="30"/>
        <v>21.995522874049335</v>
      </c>
      <c r="O83" s="6">
        <f t="shared" si="31"/>
        <v>23.9951166419321</v>
      </c>
      <c r="P83" s="9">
        <f t="shared" si="32"/>
        <v>22.008235472013226</v>
      </c>
      <c r="Q83" s="6">
        <f t="shared" si="43"/>
        <v>-975057.3000000003</v>
      </c>
      <c r="R83" s="6">
        <f t="shared" si="44"/>
        <v>-1090875.1</v>
      </c>
      <c r="S83" s="88">
        <f t="shared" si="39"/>
        <v>0</v>
      </c>
      <c r="T83" s="89">
        <f t="shared" si="49"/>
        <v>0</v>
      </c>
      <c r="U83" s="89">
        <f t="shared" si="47"/>
        <v>0</v>
      </c>
      <c r="V83" s="89">
        <f t="shared" si="48"/>
        <v>0</v>
      </c>
      <c r="W83" s="248">
        <f t="shared" si="45"/>
        <v>0</v>
      </c>
      <c r="X83" s="89">
        <f t="shared" si="46"/>
        <v>25524.90000000014</v>
      </c>
    </row>
    <row r="84" spans="1:24" s="92" customFormat="1" ht="64.5" customHeight="1">
      <c r="A84" s="26" t="s">
        <v>227</v>
      </c>
      <c r="B84" s="27">
        <v>41030300</v>
      </c>
      <c r="C84" s="3">
        <v>104</v>
      </c>
      <c r="D84" s="3">
        <v>130.1</v>
      </c>
      <c r="E84" s="25">
        <f t="shared" si="50"/>
        <v>-130.1</v>
      </c>
      <c r="F84" s="25">
        <f t="shared" si="41"/>
        <v>0</v>
      </c>
      <c r="G84" s="3">
        <f>22+105.1+3</f>
        <v>130.1</v>
      </c>
      <c r="H84" s="3">
        <f>ROUND(G84*$T$6,1)</f>
        <v>119.3</v>
      </c>
      <c r="I84" s="219">
        <f>ROUND(G84*$T$7+G84*$T$8,1)</f>
        <v>119.3</v>
      </c>
      <c r="J84" s="3">
        <v>130.1</v>
      </c>
      <c r="K84" s="216">
        <v>128</v>
      </c>
      <c r="L84" s="3">
        <v>0</v>
      </c>
      <c r="M84" s="3" t="e">
        <f>L84-#REF!</f>
        <v>#REF!</v>
      </c>
      <c r="N84" s="25">
        <f t="shared" si="30"/>
        <v>0</v>
      </c>
      <c r="O84" s="25">
        <f t="shared" si="31"/>
        <v>0</v>
      </c>
      <c r="P84" s="25">
        <f t="shared" si="32"/>
        <v>0</v>
      </c>
      <c r="Q84" s="25">
        <f t="shared" si="43"/>
        <v>-119.3</v>
      </c>
      <c r="R84" s="25">
        <f t="shared" si="44"/>
        <v>-128</v>
      </c>
      <c r="S84" s="88">
        <f t="shared" si="39"/>
        <v>0</v>
      </c>
      <c r="T84" s="176">
        <f>G84/12</f>
        <v>10.841666666666667</v>
      </c>
      <c r="U84" s="89">
        <f t="shared" si="47"/>
        <v>0</v>
      </c>
      <c r="V84" s="89">
        <f t="shared" si="48"/>
        <v>0</v>
      </c>
      <c r="W84" s="248">
        <f t="shared" si="45"/>
        <v>0</v>
      </c>
      <c r="X84" s="89">
        <f t="shared" si="46"/>
        <v>2.0999999999999943</v>
      </c>
    </row>
    <row r="85" spans="1:24" s="91" customFormat="1" ht="126.75" customHeight="1">
      <c r="A85" s="26" t="s">
        <v>224</v>
      </c>
      <c r="B85" s="27">
        <v>41030600</v>
      </c>
      <c r="C85" s="3">
        <v>269251.6</v>
      </c>
      <c r="D85" s="1">
        <v>291262.5</v>
      </c>
      <c r="E85" s="25">
        <f t="shared" si="50"/>
        <v>-291262.5</v>
      </c>
      <c r="F85" s="25">
        <f t="shared" si="41"/>
        <v>0</v>
      </c>
      <c r="G85" s="3">
        <v>316704.1</v>
      </c>
      <c r="H85" s="3">
        <f>ROUND(G85*$T$6,1)-0.1</f>
        <v>290312</v>
      </c>
      <c r="I85" s="219">
        <f>ROUND(G85*$T$7+G85*$T$8,1)-0.1</f>
        <v>290312</v>
      </c>
      <c r="J85" s="3">
        <v>297062.6</v>
      </c>
      <c r="K85" s="216">
        <v>297062.6</v>
      </c>
      <c r="L85" s="3">
        <v>0</v>
      </c>
      <c r="M85" s="3" t="e">
        <f>L85-#REF!</f>
        <v>#REF!</v>
      </c>
      <c r="N85" s="25">
        <f t="shared" si="30"/>
        <v>0</v>
      </c>
      <c r="O85" s="25">
        <f t="shared" si="31"/>
        <v>0</v>
      </c>
      <c r="P85" s="25">
        <f t="shared" si="32"/>
        <v>0</v>
      </c>
      <c r="Q85" s="25">
        <f t="shared" si="43"/>
        <v>-290312</v>
      </c>
      <c r="R85" s="25">
        <f t="shared" si="44"/>
        <v>-297062.6</v>
      </c>
      <c r="S85" s="88">
        <f t="shared" si="39"/>
        <v>0</v>
      </c>
      <c r="T85" s="176">
        <f>G85/12</f>
        <v>26392.00833333333</v>
      </c>
      <c r="U85" s="89">
        <f t="shared" si="47"/>
        <v>0</v>
      </c>
      <c r="V85" s="89">
        <f t="shared" si="48"/>
        <v>0</v>
      </c>
      <c r="W85" s="248">
        <f t="shared" si="45"/>
        <v>0</v>
      </c>
      <c r="X85" s="89">
        <f t="shared" si="46"/>
        <v>0</v>
      </c>
    </row>
    <row r="86" spans="1:24" s="91" customFormat="1" ht="142.5" customHeight="1">
      <c r="A86" s="177" t="s">
        <v>287</v>
      </c>
      <c r="B86" s="27">
        <v>41030800</v>
      </c>
      <c r="C86" s="3">
        <v>519946.6</v>
      </c>
      <c r="D86" s="1">
        <v>583483.1</v>
      </c>
      <c r="E86" s="25">
        <f t="shared" si="50"/>
        <v>-583483.1</v>
      </c>
      <c r="F86" s="25">
        <f t="shared" si="41"/>
        <v>0</v>
      </c>
      <c r="G86" s="3">
        <f>266900.9+195000+25000+50062.3-4234.8+9200-1122.1+9970.2</f>
        <v>550776.5</v>
      </c>
      <c r="H86" s="3">
        <f>ROUND(G86*$T$6,1)-0.1</f>
        <v>504878.4</v>
      </c>
      <c r="I86" s="219">
        <f>ROUND(G86*$T$7+G86*$T$8,1)-0.1</f>
        <v>504878.4</v>
      </c>
      <c r="J86" s="3">
        <v>583486.8</v>
      </c>
      <c r="K86" s="216">
        <v>573673.7</v>
      </c>
      <c r="L86" s="3">
        <v>0</v>
      </c>
      <c r="M86" s="3" t="e">
        <f>L86-#REF!</f>
        <v>#REF!</v>
      </c>
      <c r="N86" s="25">
        <f t="shared" si="30"/>
        <v>0</v>
      </c>
      <c r="O86" s="25">
        <f t="shared" si="31"/>
        <v>0</v>
      </c>
      <c r="P86" s="25">
        <f t="shared" si="32"/>
        <v>0</v>
      </c>
      <c r="Q86" s="25">
        <f t="shared" si="43"/>
        <v>-504878.4</v>
      </c>
      <c r="R86" s="25">
        <f t="shared" si="44"/>
        <v>-573673.7</v>
      </c>
      <c r="S86" s="88">
        <f t="shared" si="39"/>
        <v>0</v>
      </c>
      <c r="T86" s="176">
        <f>G86/12</f>
        <v>45898.041666666664</v>
      </c>
      <c r="U86" s="89">
        <f t="shared" si="47"/>
        <v>0</v>
      </c>
      <c r="V86" s="89">
        <f t="shared" si="48"/>
        <v>0</v>
      </c>
      <c r="W86" s="248">
        <f t="shared" si="45"/>
        <v>0</v>
      </c>
      <c r="X86" s="89">
        <f t="shared" si="46"/>
        <v>9813.100000000093</v>
      </c>
    </row>
    <row r="87" spans="1:24" s="92" customFormat="1" ht="288.75" customHeight="1" hidden="1">
      <c r="A87" s="177" t="s">
        <v>290</v>
      </c>
      <c r="B87" s="27">
        <v>41030901</v>
      </c>
      <c r="C87" s="3">
        <v>0</v>
      </c>
      <c r="D87" s="3"/>
      <c r="E87" s="25">
        <f t="shared" si="50"/>
        <v>0</v>
      </c>
      <c r="F87" s="14" t="e">
        <f t="shared" si="41"/>
        <v>#DIV/0!</v>
      </c>
      <c r="G87" s="3">
        <f>SUM(G88:G90)</f>
        <v>0</v>
      </c>
      <c r="H87" s="3">
        <f aca="true" t="shared" si="52" ref="H87:H95">ROUND(G87*$T$6,1)</f>
        <v>0</v>
      </c>
      <c r="I87" s="216">
        <f aca="true" t="shared" si="53" ref="I87:I95">ROUND(G87*$T$7+G87*$T$8,1)</f>
        <v>0</v>
      </c>
      <c r="J87" s="3"/>
      <c r="K87" s="216"/>
      <c r="L87" s="3">
        <f>SUM(L88:L90)</f>
        <v>0</v>
      </c>
      <c r="M87" s="3" t="e">
        <f>L87-#REF!</f>
        <v>#REF!</v>
      </c>
      <c r="N87" s="14" t="e">
        <f t="shared" si="30"/>
        <v>#DIV/0!</v>
      </c>
      <c r="O87" s="14" t="e">
        <f t="shared" si="31"/>
        <v>#DIV/0!</v>
      </c>
      <c r="P87" s="14" t="e">
        <f t="shared" si="32"/>
        <v>#DIV/0!</v>
      </c>
      <c r="Q87" s="25">
        <f t="shared" si="43"/>
        <v>0</v>
      </c>
      <c r="R87" s="25">
        <f t="shared" si="44"/>
        <v>0</v>
      </c>
      <c r="S87" s="88">
        <f t="shared" si="39"/>
        <v>0</v>
      </c>
      <c r="T87" s="176">
        <f aca="true" t="shared" si="54" ref="T87:T106">G87/12</f>
        <v>0</v>
      </c>
      <c r="U87" s="89" t="e">
        <f t="shared" si="47"/>
        <v>#DIV/0!</v>
      </c>
      <c r="V87" s="89" t="e">
        <f t="shared" si="48"/>
        <v>#DIV/0!</v>
      </c>
      <c r="W87" s="248">
        <f t="shared" si="45"/>
        <v>0</v>
      </c>
      <c r="X87" s="89">
        <f t="shared" si="46"/>
        <v>0</v>
      </c>
    </row>
    <row r="88" spans="1:24" s="158" customFormat="1" ht="43.5" customHeight="1" hidden="1">
      <c r="A88" s="144" t="s">
        <v>232</v>
      </c>
      <c r="B88" s="157"/>
      <c r="C88" s="8"/>
      <c r="D88" s="8">
        <v>1322.1</v>
      </c>
      <c r="E88" s="25">
        <f t="shared" si="50"/>
        <v>-1322.1</v>
      </c>
      <c r="F88" s="14">
        <f t="shared" si="41"/>
        <v>0</v>
      </c>
      <c r="G88" s="8"/>
      <c r="H88" s="8">
        <f t="shared" si="52"/>
        <v>0</v>
      </c>
      <c r="I88" s="217">
        <f t="shared" si="53"/>
        <v>0</v>
      </c>
      <c r="J88" s="3" t="e">
        <v>#N/A</v>
      </c>
      <c r="K88" s="217"/>
      <c r="L88" s="8"/>
      <c r="M88" s="3" t="e">
        <f>L88-#REF!</f>
        <v>#REF!</v>
      </c>
      <c r="N88" s="34" t="e">
        <f t="shared" si="30"/>
        <v>#DIV/0!</v>
      </c>
      <c r="O88" s="14" t="e">
        <f t="shared" si="31"/>
        <v>#DIV/0!</v>
      </c>
      <c r="P88" s="34" t="e">
        <f t="shared" si="32"/>
        <v>#DIV/0!</v>
      </c>
      <c r="Q88" s="25">
        <f t="shared" si="43"/>
        <v>0</v>
      </c>
      <c r="R88" s="25">
        <f t="shared" si="44"/>
        <v>0</v>
      </c>
      <c r="S88" s="88">
        <f t="shared" si="39"/>
        <v>0</v>
      </c>
      <c r="T88" s="176">
        <f t="shared" si="54"/>
        <v>0</v>
      </c>
      <c r="U88" s="89" t="e">
        <f t="shared" si="47"/>
        <v>#DIV/0!</v>
      </c>
      <c r="V88" s="89" t="e">
        <f t="shared" si="48"/>
        <v>#DIV/0!</v>
      </c>
      <c r="W88" s="248">
        <f t="shared" si="45"/>
        <v>0</v>
      </c>
      <c r="X88" s="89" t="e">
        <f t="shared" si="46"/>
        <v>#N/A</v>
      </c>
    </row>
    <row r="89" spans="1:24" s="158" customFormat="1" ht="27.75" customHeight="1" hidden="1">
      <c r="A89" s="144" t="s">
        <v>233</v>
      </c>
      <c r="B89" s="157"/>
      <c r="C89" s="8"/>
      <c r="D89" s="8">
        <v>99.2</v>
      </c>
      <c r="E89" s="25">
        <f t="shared" si="50"/>
        <v>-99.2</v>
      </c>
      <c r="F89" s="14">
        <f t="shared" si="41"/>
        <v>0</v>
      </c>
      <c r="G89" s="8"/>
      <c r="H89" s="8">
        <f t="shared" si="52"/>
        <v>0</v>
      </c>
      <c r="I89" s="217">
        <f t="shared" si="53"/>
        <v>0</v>
      </c>
      <c r="J89" s="3" t="e">
        <v>#N/A</v>
      </c>
      <c r="K89" s="217"/>
      <c r="L89" s="8"/>
      <c r="M89" s="3" t="e">
        <f>L89-#REF!</f>
        <v>#REF!</v>
      </c>
      <c r="N89" s="34" t="e">
        <f t="shared" si="30"/>
        <v>#DIV/0!</v>
      </c>
      <c r="O89" s="14" t="e">
        <f t="shared" si="31"/>
        <v>#DIV/0!</v>
      </c>
      <c r="P89" s="34" t="e">
        <f t="shared" si="32"/>
        <v>#DIV/0!</v>
      </c>
      <c r="Q89" s="25">
        <f t="shared" si="43"/>
        <v>0</v>
      </c>
      <c r="R89" s="25">
        <f t="shared" si="44"/>
        <v>0</v>
      </c>
      <c r="S89" s="88">
        <f t="shared" si="39"/>
        <v>0</v>
      </c>
      <c r="T89" s="176">
        <f t="shared" si="54"/>
        <v>0</v>
      </c>
      <c r="U89" s="89" t="e">
        <f t="shared" si="47"/>
        <v>#DIV/0!</v>
      </c>
      <c r="V89" s="89" t="e">
        <f t="shared" si="48"/>
        <v>#DIV/0!</v>
      </c>
      <c r="W89" s="248">
        <f t="shared" si="45"/>
        <v>0</v>
      </c>
      <c r="X89" s="89" t="e">
        <f t="shared" si="46"/>
        <v>#N/A</v>
      </c>
    </row>
    <row r="90" spans="1:24" s="158" customFormat="1" ht="20.25" hidden="1">
      <c r="A90" s="144" t="s">
        <v>234</v>
      </c>
      <c r="B90" s="157"/>
      <c r="C90" s="8"/>
      <c r="D90" s="8">
        <v>0.3</v>
      </c>
      <c r="E90" s="25">
        <f t="shared" si="50"/>
        <v>-0.3</v>
      </c>
      <c r="F90" s="14">
        <f t="shared" si="41"/>
        <v>0</v>
      </c>
      <c r="G90" s="8"/>
      <c r="H90" s="8">
        <f t="shared" si="52"/>
        <v>0</v>
      </c>
      <c r="I90" s="217">
        <f t="shared" si="53"/>
        <v>0</v>
      </c>
      <c r="J90" s="3" t="e">
        <v>#N/A</v>
      </c>
      <c r="K90" s="217"/>
      <c r="L90" s="8"/>
      <c r="M90" s="3" t="e">
        <f>L90-#REF!</f>
        <v>#REF!</v>
      </c>
      <c r="N90" s="34" t="e">
        <f t="shared" si="30"/>
        <v>#DIV/0!</v>
      </c>
      <c r="O90" s="14" t="e">
        <f t="shared" si="31"/>
        <v>#DIV/0!</v>
      </c>
      <c r="P90" s="34" t="e">
        <f t="shared" si="32"/>
        <v>#DIV/0!</v>
      </c>
      <c r="Q90" s="25">
        <f t="shared" si="43"/>
        <v>0</v>
      </c>
      <c r="R90" s="25">
        <f t="shared" si="44"/>
        <v>0</v>
      </c>
      <c r="S90" s="88">
        <f t="shared" si="39"/>
        <v>0</v>
      </c>
      <c r="T90" s="176">
        <f t="shared" si="54"/>
        <v>0</v>
      </c>
      <c r="U90" s="89" t="e">
        <f t="shared" si="47"/>
        <v>#DIV/0!</v>
      </c>
      <c r="V90" s="89" t="e">
        <f t="shared" si="48"/>
        <v>#DIV/0!</v>
      </c>
      <c r="W90" s="248">
        <f t="shared" si="45"/>
        <v>0</v>
      </c>
      <c r="X90" s="89" t="e">
        <f t="shared" si="46"/>
        <v>#N/A</v>
      </c>
    </row>
    <row r="91" spans="1:24" s="91" customFormat="1" ht="94.5" customHeight="1">
      <c r="A91" s="26" t="s">
        <v>235</v>
      </c>
      <c r="B91" s="27">
        <v>41031000</v>
      </c>
      <c r="C91" s="3">
        <v>307.2</v>
      </c>
      <c r="D91" s="3">
        <v>285</v>
      </c>
      <c r="E91" s="25">
        <f t="shared" si="50"/>
        <v>-285</v>
      </c>
      <c r="F91" s="25">
        <f t="shared" si="41"/>
        <v>0</v>
      </c>
      <c r="G91" s="3">
        <f>313.5-12.6</f>
        <v>300.9</v>
      </c>
      <c r="H91" s="3">
        <f>ROUND(G91*$T$6,1)</f>
        <v>275.8</v>
      </c>
      <c r="I91" s="219">
        <f>ROUND(G91*$T$7+G91*$T$8,1)</f>
        <v>275.8</v>
      </c>
      <c r="J91" s="3">
        <v>285</v>
      </c>
      <c r="K91" s="216">
        <v>276.9</v>
      </c>
      <c r="L91" s="3">
        <v>0</v>
      </c>
      <c r="M91" s="3" t="e">
        <f>L91-#REF!</f>
        <v>#REF!</v>
      </c>
      <c r="N91" s="25">
        <f t="shared" si="30"/>
        <v>0</v>
      </c>
      <c r="O91" s="25">
        <f t="shared" si="31"/>
        <v>0</v>
      </c>
      <c r="P91" s="25">
        <f t="shared" si="32"/>
        <v>0</v>
      </c>
      <c r="Q91" s="25">
        <f t="shared" si="43"/>
        <v>-275.8</v>
      </c>
      <c r="R91" s="25">
        <f t="shared" si="44"/>
        <v>-276.9</v>
      </c>
      <c r="S91" s="88">
        <f t="shared" si="39"/>
        <v>0</v>
      </c>
      <c r="T91" s="176">
        <f t="shared" si="54"/>
        <v>25.075</v>
      </c>
      <c r="U91" s="89">
        <f t="shared" si="47"/>
        <v>0</v>
      </c>
      <c r="V91" s="89">
        <f t="shared" si="48"/>
        <v>0</v>
      </c>
      <c r="W91" s="248">
        <f t="shared" si="45"/>
        <v>0</v>
      </c>
      <c r="X91" s="89">
        <f t="shared" si="46"/>
        <v>8.100000000000023</v>
      </c>
    </row>
    <row r="92" spans="1:24" s="91" customFormat="1" ht="61.5">
      <c r="A92" s="23" t="s">
        <v>312</v>
      </c>
      <c r="B92" s="24">
        <v>41033600</v>
      </c>
      <c r="C92" s="3"/>
      <c r="D92" s="3"/>
      <c r="E92" s="25">
        <f>L92-D92</f>
        <v>0</v>
      </c>
      <c r="F92" s="122" t="e">
        <f>L92/D92*100</f>
        <v>#DIV/0!</v>
      </c>
      <c r="G92" s="3">
        <f>3360.4+1344.2</f>
        <v>4704.6</v>
      </c>
      <c r="H92" s="3">
        <f>ROUND(G92*$T$6,1)</f>
        <v>4312.6</v>
      </c>
      <c r="I92" s="219">
        <f>ROUND(G92*$T$7+G92*$T$8,1)</f>
        <v>4312.6</v>
      </c>
      <c r="J92" s="3">
        <v>4704.6</v>
      </c>
      <c r="K92" s="216">
        <v>4511.9</v>
      </c>
      <c r="L92" s="3">
        <v>0</v>
      </c>
      <c r="M92" s="3" t="e">
        <f>L92-#REF!</f>
        <v>#REF!</v>
      </c>
      <c r="N92" s="25">
        <f t="shared" si="30"/>
        <v>0</v>
      </c>
      <c r="O92" s="25">
        <f>L92/I92*100</f>
        <v>0</v>
      </c>
      <c r="P92" s="25">
        <f>L92/K92*100</f>
        <v>0</v>
      </c>
      <c r="Q92" s="25">
        <f>L92-I92</f>
        <v>-4312.6</v>
      </c>
      <c r="R92" s="25">
        <f>L92-K92</f>
        <v>-4511.9</v>
      </c>
      <c r="S92" s="88"/>
      <c r="T92" s="176"/>
      <c r="U92" s="89"/>
      <c r="V92" s="89"/>
      <c r="W92" s="248">
        <f t="shared" si="45"/>
        <v>0</v>
      </c>
      <c r="X92" s="89">
        <f t="shared" si="46"/>
        <v>192.70000000000073</v>
      </c>
    </row>
    <row r="93" spans="1:24" s="91" customFormat="1" ht="76.5">
      <c r="A93" s="23" t="s">
        <v>106</v>
      </c>
      <c r="B93" s="24">
        <v>41033800</v>
      </c>
      <c r="C93" s="3"/>
      <c r="D93" s="3"/>
      <c r="E93" s="25">
        <f>L93-D93</f>
        <v>2298.6</v>
      </c>
      <c r="F93" s="122" t="e">
        <f>L93/D93*100</f>
        <v>#DIV/0!</v>
      </c>
      <c r="G93" s="3">
        <v>330</v>
      </c>
      <c r="H93" s="3">
        <f>ROUND(G93*$T$6,1)</f>
        <v>302.5</v>
      </c>
      <c r="I93" s="219">
        <f>ROUND(G93*$T$7+G93*$T$8,1)</f>
        <v>302.5</v>
      </c>
      <c r="J93" s="3">
        <v>330</v>
      </c>
      <c r="K93" s="216">
        <v>330</v>
      </c>
      <c r="L93" s="3">
        <v>2298.6</v>
      </c>
      <c r="M93" s="3" t="e">
        <f>L93-#REF!</f>
        <v>#REF!</v>
      </c>
      <c r="N93" s="25">
        <f>L93/G93*100</f>
        <v>696.5454545454545</v>
      </c>
      <c r="O93" s="25">
        <f>L93/I93*100</f>
        <v>759.8677685950413</v>
      </c>
      <c r="P93" s="25">
        <f>L93/K93*100</f>
        <v>696.5454545454545</v>
      </c>
      <c r="Q93" s="25">
        <f>L93-I93</f>
        <v>1996.1</v>
      </c>
      <c r="R93" s="25">
        <f>L93-K93</f>
        <v>1968.6</v>
      </c>
      <c r="S93" s="88"/>
      <c r="T93" s="176"/>
      <c r="U93" s="89"/>
      <c r="V93" s="89"/>
      <c r="W93" s="248">
        <f t="shared" si="45"/>
        <v>0</v>
      </c>
      <c r="X93" s="89">
        <f t="shared" si="46"/>
        <v>0</v>
      </c>
    </row>
    <row r="94" spans="1:24" s="91" customFormat="1" ht="34.5" customHeight="1">
      <c r="A94" s="26" t="s">
        <v>37</v>
      </c>
      <c r="B94" s="27">
        <v>41033900</v>
      </c>
      <c r="C94" s="3">
        <f>193061.6+C95</f>
        <v>196611.5</v>
      </c>
      <c r="D94" s="3">
        <v>224563.9</v>
      </c>
      <c r="E94" s="25">
        <f t="shared" si="50"/>
        <v>-224563.9</v>
      </c>
      <c r="F94" s="25">
        <f t="shared" si="41"/>
        <v>0</v>
      </c>
      <c r="G94" s="3">
        <v>224563.9</v>
      </c>
      <c r="H94" s="3">
        <f t="shared" si="52"/>
        <v>205850.2</v>
      </c>
      <c r="I94" s="219">
        <f>ROUND(G94*$T$7+G94*$T$8,1)</f>
        <v>205850.2</v>
      </c>
      <c r="J94" s="3">
        <v>224563.9</v>
      </c>
      <c r="K94" s="216">
        <v>219101.8</v>
      </c>
      <c r="L94" s="3">
        <v>0</v>
      </c>
      <c r="M94" s="3" t="e">
        <f>L94-#REF!</f>
        <v>#REF!</v>
      </c>
      <c r="N94" s="25">
        <f t="shared" si="30"/>
        <v>0</v>
      </c>
      <c r="O94" s="25">
        <f t="shared" si="31"/>
        <v>0</v>
      </c>
      <c r="P94" s="25">
        <f t="shared" si="32"/>
        <v>0</v>
      </c>
      <c r="Q94" s="25">
        <f t="shared" si="43"/>
        <v>-205850.2</v>
      </c>
      <c r="R94" s="25">
        <f t="shared" si="44"/>
        <v>-219101.8</v>
      </c>
      <c r="S94" s="88">
        <f t="shared" si="39"/>
        <v>0</v>
      </c>
      <c r="T94" s="176">
        <f t="shared" si="54"/>
        <v>18713.658333333333</v>
      </c>
      <c r="U94" s="89">
        <f t="shared" si="47"/>
        <v>0</v>
      </c>
      <c r="V94" s="89">
        <f t="shared" si="48"/>
        <v>0</v>
      </c>
      <c r="W94" s="248">
        <f t="shared" si="45"/>
        <v>0</v>
      </c>
      <c r="X94" s="89">
        <f t="shared" si="46"/>
        <v>5462.100000000006</v>
      </c>
    </row>
    <row r="95" spans="1:24" s="91" customFormat="1" ht="20.25">
      <c r="A95" s="23" t="s">
        <v>31</v>
      </c>
      <c r="B95" s="24"/>
      <c r="C95" s="3">
        <v>3549.9</v>
      </c>
      <c r="D95" s="3">
        <v>0</v>
      </c>
      <c r="E95" s="25">
        <f t="shared" si="50"/>
        <v>0</v>
      </c>
      <c r="F95" s="93" t="e">
        <f t="shared" si="41"/>
        <v>#DIV/0!</v>
      </c>
      <c r="G95" s="3"/>
      <c r="H95" s="3">
        <f t="shared" si="52"/>
        <v>0</v>
      </c>
      <c r="I95" s="216">
        <f t="shared" si="53"/>
        <v>0</v>
      </c>
      <c r="J95" s="3"/>
      <c r="K95" s="216"/>
      <c r="L95" s="3"/>
      <c r="M95" s="3" t="e">
        <f>L95-#REF!</f>
        <v>#REF!</v>
      </c>
      <c r="N95" s="93" t="e">
        <f>L95/G95*100</f>
        <v>#DIV/0!</v>
      </c>
      <c r="O95" s="93" t="e">
        <f>L95/I95*100</f>
        <v>#DIV/0!</v>
      </c>
      <c r="P95" s="93" t="e">
        <f>L95/K95*100</f>
        <v>#DIV/0!</v>
      </c>
      <c r="Q95" s="25">
        <f t="shared" si="43"/>
        <v>0</v>
      </c>
      <c r="R95" s="25">
        <f t="shared" si="44"/>
        <v>0</v>
      </c>
      <c r="S95" s="88">
        <f t="shared" si="39"/>
        <v>0</v>
      </c>
      <c r="T95" s="176">
        <f t="shared" si="54"/>
        <v>0</v>
      </c>
      <c r="U95" s="89" t="e">
        <f t="shared" si="47"/>
        <v>#DIV/0!</v>
      </c>
      <c r="V95" s="89" t="e">
        <f t="shared" si="48"/>
        <v>#DIV/0!</v>
      </c>
      <c r="W95" s="248">
        <f t="shared" si="45"/>
        <v>0</v>
      </c>
      <c r="X95" s="89">
        <f t="shared" si="46"/>
        <v>0</v>
      </c>
    </row>
    <row r="96" spans="1:24" s="91" customFormat="1" ht="33.75" customHeight="1">
      <c r="A96" s="26" t="s">
        <v>36</v>
      </c>
      <c r="B96" s="27">
        <v>41034200</v>
      </c>
      <c r="C96" s="3">
        <f>178679.8+C97+C103</f>
        <v>194572.3</v>
      </c>
      <c r="D96" s="3">
        <v>237622.5</v>
      </c>
      <c r="E96" s="25">
        <f t="shared" si="50"/>
        <v>11923.5</v>
      </c>
      <c r="F96" s="25">
        <f t="shared" si="41"/>
        <v>105.01783290723732</v>
      </c>
      <c r="G96" s="3">
        <f>225757.5+G97+G103</f>
        <v>247135.5</v>
      </c>
      <c r="H96" s="3">
        <f>ROUND(G96*$T$6,1)</f>
        <v>226540.9</v>
      </c>
      <c r="I96" s="219">
        <f>ROUND(G96*$T$7+G96*$T$8,1)</f>
        <v>226540.9</v>
      </c>
      <c r="J96" s="3">
        <v>248997.1</v>
      </c>
      <c r="K96" s="216">
        <v>241954.6</v>
      </c>
      <c r="L96" s="1">
        <v>249546</v>
      </c>
      <c r="M96" s="3" t="e">
        <f>L96-#REF!</f>
        <v>#REF!</v>
      </c>
      <c r="N96" s="25">
        <f t="shared" si="30"/>
        <v>100.97537585656451</v>
      </c>
      <c r="O96" s="25">
        <f t="shared" si="31"/>
        <v>110.15494332370007</v>
      </c>
      <c r="P96" s="25">
        <f t="shared" si="32"/>
        <v>103.13753075990289</v>
      </c>
      <c r="Q96" s="25">
        <f t="shared" si="43"/>
        <v>23005.100000000006</v>
      </c>
      <c r="R96" s="25">
        <f t="shared" si="44"/>
        <v>7591.399999999994</v>
      </c>
      <c r="S96" s="88">
        <f t="shared" si="39"/>
        <v>0</v>
      </c>
      <c r="T96" s="176">
        <f t="shared" si="54"/>
        <v>20594.625</v>
      </c>
      <c r="U96" s="89">
        <f t="shared" si="47"/>
        <v>0</v>
      </c>
      <c r="V96" s="89">
        <f t="shared" si="48"/>
        <v>0</v>
      </c>
      <c r="W96" s="248">
        <f t="shared" si="45"/>
        <v>0</v>
      </c>
      <c r="X96" s="89">
        <f t="shared" si="46"/>
        <v>7042.5</v>
      </c>
    </row>
    <row r="97" spans="1:24" s="91" customFormat="1" ht="20.25">
      <c r="A97" s="26" t="s">
        <v>32</v>
      </c>
      <c r="B97" s="27"/>
      <c r="C97" s="3">
        <f>C100+C102+C98+C99+C101</f>
        <v>15892.5</v>
      </c>
      <c r="D97" s="3">
        <f>D100+D102+D98+D99+D101</f>
        <v>11865</v>
      </c>
      <c r="E97" s="25">
        <f t="shared" si="50"/>
        <v>5986.5999999999985</v>
      </c>
      <c r="F97" s="25">
        <f t="shared" si="41"/>
        <v>150.4559629161399</v>
      </c>
      <c r="G97" s="3">
        <f aca="true" t="shared" si="55" ref="G97:M97">G100+G102+G98+G99+G101</f>
        <v>19303.100000000002</v>
      </c>
      <c r="H97" s="3">
        <f t="shared" si="55"/>
        <v>17694.500000000004</v>
      </c>
      <c r="I97" s="216">
        <f t="shared" si="55"/>
        <v>17694.500000000004</v>
      </c>
      <c r="J97" s="3">
        <f t="shared" si="55"/>
        <v>22262.1</v>
      </c>
      <c r="K97" s="216">
        <f t="shared" si="55"/>
        <v>20947.2</v>
      </c>
      <c r="L97" s="3">
        <f t="shared" si="55"/>
        <v>17851.6</v>
      </c>
      <c r="M97" s="3" t="e">
        <f t="shared" si="55"/>
        <v>#REF!</v>
      </c>
      <c r="N97" s="25">
        <f t="shared" si="30"/>
        <v>92.48048240956113</v>
      </c>
      <c r="O97" s="25">
        <f t="shared" si="31"/>
        <v>100.8878465059764</v>
      </c>
      <c r="P97" s="25">
        <f t="shared" si="32"/>
        <v>85.22189123128628</v>
      </c>
      <c r="Q97" s="25">
        <f t="shared" si="43"/>
        <v>157.0999999999949</v>
      </c>
      <c r="R97" s="25">
        <f t="shared" si="44"/>
        <v>-3095.600000000002</v>
      </c>
      <c r="S97" s="88">
        <f t="shared" si="39"/>
        <v>0</v>
      </c>
      <c r="T97" s="176">
        <f t="shared" si="54"/>
        <v>1608.591666666667</v>
      </c>
      <c r="U97" s="89">
        <f t="shared" si="47"/>
        <v>0</v>
      </c>
      <c r="V97" s="89">
        <f t="shared" si="48"/>
        <v>0</v>
      </c>
      <c r="W97" s="248">
        <f t="shared" si="45"/>
        <v>0</v>
      </c>
      <c r="X97" s="89">
        <f t="shared" si="46"/>
        <v>1314.8999999999978</v>
      </c>
    </row>
    <row r="98" spans="1:24" s="91" customFormat="1" ht="75.75" customHeight="1">
      <c r="A98" s="26" t="s">
        <v>122</v>
      </c>
      <c r="B98" s="27"/>
      <c r="C98" s="3">
        <v>203.5</v>
      </c>
      <c r="D98" s="3">
        <v>161.5</v>
      </c>
      <c r="E98" s="25">
        <f>L98-D98</f>
        <v>132.5</v>
      </c>
      <c r="F98" s="25">
        <f>L98/D98*100</f>
        <v>182.04334365325076</v>
      </c>
      <c r="G98" s="3">
        <v>336.4</v>
      </c>
      <c r="H98" s="3">
        <f aca="true" t="shared" si="56" ref="H98:H105">ROUND(G98*$T$6,1)</f>
        <v>308.4</v>
      </c>
      <c r="I98" s="219">
        <f aca="true" t="shared" si="57" ref="I98:I105">ROUND(G98*$T$7+G98*$T$8,1)</f>
        <v>308.4</v>
      </c>
      <c r="J98" s="3">
        <v>366.4</v>
      </c>
      <c r="K98" s="216">
        <v>353.4</v>
      </c>
      <c r="L98" s="3">
        <v>294</v>
      </c>
      <c r="M98" s="3" t="e">
        <f>L98-#REF!</f>
        <v>#REF!</v>
      </c>
      <c r="N98" s="25">
        <f t="shared" si="30"/>
        <v>87.39595719381688</v>
      </c>
      <c r="O98" s="25">
        <f t="shared" si="31"/>
        <v>95.3307392996109</v>
      </c>
      <c r="P98" s="25">
        <f t="shared" si="32"/>
        <v>83.19185059422752</v>
      </c>
      <c r="Q98" s="25">
        <f t="shared" si="43"/>
        <v>-14.399999999999977</v>
      </c>
      <c r="R98" s="25">
        <f t="shared" si="44"/>
        <v>-59.39999999999998</v>
      </c>
      <c r="S98" s="88">
        <f t="shared" si="39"/>
        <v>0</v>
      </c>
      <c r="T98" s="176">
        <f t="shared" si="54"/>
        <v>28.03333333333333</v>
      </c>
      <c r="U98" s="89">
        <f t="shared" si="47"/>
        <v>0</v>
      </c>
      <c r="V98" s="89">
        <f t="shared" si="48"/>
        <v>0</v>
      </c>
      <c r="W98" s="248">
        <f t="shared" si="45"/>
        <v>0</v>
      </c>
      <c r="X98" s="89">
        <f t="shared" si="46"/>
        <v>13</v>
      </c>
    </row>
    <row r="99" spans="1:24" s="91" customFormat="1" ht="79.5" customHeight="1">
      <c r="A99" s="26" t="s">
        <v>129</v>
      </c>
      <c r="B99" s="27"/>
      <c r="C99" s="3">
        <v>275.6</v>
      </c>
      <c r="D99" s="3">
        <v>223.7</v>
      </c>
      <c r="E99" s="25">
        <f>L99-D99</f>
        <v>82.10000000000002</v>
      </c>
      <c r="F99" s="25">
        <f>L99/D99*100</f>
        <v>136.70093875726423</v>
      </c>
      <c r="G99" s="3">
        <f>349.9</f>
        <v>349.9</v>
      </c>
      <c r="H99" s="3">
        <f t="shared" si="56"/>
        <v>320.7</v>
      </c>
      <c r="I99" s="219">
        <f t="shared" si="57"/>
        <v>320.7</v>
      </c>
      <c r="J99" s="3">
        <v>610.6</v>
      </c>
      <c r="K99" s="216">
        <v>518.7</v>
      </c>
      <c r="L99" s="3">
        <v>305.8</v>
      </c>
      <c r="M99" s="3" t="e">
        <f>L99-#REF!</f>
        <v>#REF!</v>
      </c>
      <c r="N99" s="25">
        <f t="shared" si="30"/>
        <v>87.39639897113462</v>
      </c>
      <c r="O99" s="25">
        <f t="shared" si="31"/>
        <v>95.35391331462426</v>
      </c>
      <c r="P99" s="25">
        <f t="shared" si="32"/>
        <v>58.95508000771158</v>
      </c>
      <c r="Q99" s="25">
        <f t="shared" si="43"/>
        <v>-14.899999999999977</v>
      </c>
      <c r="R99" s="25">
        <f t="shared" si="44"/>
        <v>-212.90000000000003</v>
      </c>
      <c r="S99" s="88">
        <f t="shared" si="39"/>
        <v>0</v>
      </c>
      <c r="T99" s="176">
        <f t="shared" si="54"/>
        <v>29.15833333333333</v>
      </c>
      <c r="U99" s="89">
        <f t="shared" si="47"/>
        <v>0</v>
      </c>
      <c r="V99" s="89">
        <f t="shared" si="48"/>
        <v>0</v>
      </c>
      <c r="W99" s="248">
        <f t="shared" si="45"/>
        <v>0</v>
      </c>
      <c r="X99" s="89">
        <f t="shared" si="46"/>
        <v>91.89999999999998</v>
      </c>
    </row>
    <row r="100" spans="1:24" s="91" customFormat="1" ht="32.25" customHeight="1">
      <c r="A100" s="26" t="s">
        <v>152</v>
      </c>
      <c r="B100" s="27"/>
      <c r="C100" s="3">
        <v>4573.6</v>
      </c>
      <c r="D100" s="3">
        <v>3353.2</v>
      </c>
      <c r="E100" s="25">
        <f t="shared" si="50"/>
        <v>2591.7</v>
      </c>
      <c r="F100" s="14"/>
      <c r="G100" s="3">
        <f>5312.3+883.2</f>
        <v>6195.5</v>
      </c>
      <c r="H100" s="3">
        <f t="shared" si="56"/>
        <v>5679.2</v>
      </c>
      <c r="I100" s="219">
        <f>ROUND(G100*$T$7+G100*$T$8,1)</f>
        <v>5679.2</v>
      </c>
      <c r="J100" s="3">
        <v>7863.8</v>
      </c>
      <c r="K100" s="216">
        <v>7288.1</v>
      </c>
      <c r="L100" s="3">
        <v>5944.9</v>
      </c>
      <c r="M100" s="3" t="e">
        <f>L100-#REF!</f>
        <v>#REF!</v>
      </c>
      <c r="N100" s="25">
        <f t="shared" si="30"/>
        <v>95.95512872245985</v>
      </c>
      <c r="O100" s="25">
        <f t="shared" si="31"/>
        <v>104.67847584166783</v>
      </c>
      <c r="P100" s="25">
        <f t="shared" si="32"/>
        <v>81.56995650443874</v>
      </c>
      <c r="Q100" s="25">
        <f t="shared" si="43"/>
        <v>265.6999999999998</v>
      </c>
      <c r="R100" s="25">
        <f t="shared" si="44"/>
        <v>-1343.2000000000007</v>
      </c>
      <c r="S100" s="88">
        <f t="shared" si="39"/>
        <v>0</v>
      </c>
      <c r="T100" s="176">
        <f t="shared" si="54"/>
        <v>516.2916666666666</v>
      </c>
      <c r="U100" s="89">
        <f t="shared" si="47"/>
        <v>0</v>
      </c>
      <c r="V100" s="89">
        <f t="shared" si="48"/>
        <v>0</v>
      </c>
      <c r="W100" s="248">
        <f t="shared" si="45"/>
        <v>0</v>
      </c>
      <c r="X100" s="89">
        <f t="shared" si="46"/>
        <v>575.6999999999998</v>
      </c>
    </row>
    <row r="101" spans="1:24" s="91" customFormat="1" ht="85.5" customHeight="1">
      <c r="A101" s="26" t="s">
        <v>307</v>
      </c>
      <c r="B101" s="27"/>
      <c r="C101" s="3">
        <v>2000</v>
      </c>
      <c r="D101" s="3"/>
      <c r="E101" s="25">
        <f t="shared" si="50"/>
        <v>0</v>
      </c>
      <c r="F101" s="14"/>
      <c r="G101" s="3"/>
      <c r="H101" s="3">
        <f t="shared" si="56"/>
        <v>0</v>
      </c>
      <c r="I101" s="219">
        <f t="shared" si="57"/>
        <v>0</v>
      </c>
      <c r="J101" s="3"/>
      <c r="K101" s="216"/>
      <c r="L101" s="3"/>
      <c r="M101" s="3" t="e">
        <f>L101-#REF!</f>
        <v>#REF!</v>
      </c>
      <c r="N101" s="93" t="e">
        <f t="shared" si="30"/>
        <v>#DIV/0!</v>
      </c>
      <c r="O101" s="93" t="e">
        <f t="shared" si="31"/>
        <v>#DIV/0!</v>
      </c>
      <c r="P101" s="93" t="e">
        <f t="shared" si="32"/>
        <v>#DIV/0!</v>
      </c>
      <c r="Q101" s="25">
        <f t="shared" si="43"/>
        <v>0</v>
      </c>
      <c r="R101" s="25">
        <f t="shared" si="44"/>
        <v>0</v>
      </c>
      <c r="S101" s="88">
        <f t="shared" si="39"/>
        <v>0</v>
      </c>
      <c r="T101" s="176">
        <f t="shared" si="54"/>
        <v>0</v>
      </c>
      <c r="U101" s="89" t="e">
        <f t="shared" si="47"/>
        <v>#DIV/0!</v>
      </c>
      <c r="V101" s="89" t="e">
        <f t="shared" si="48"/>
        <v>#DIV/0!</v>
      </c>
      <c r="W101" s="248">
        <f t="shared" si="45"/>
        <v>0</v>
      </c>
      <c r="X101" s="89">
        <f t="shared" si="46"/>
        <v>0</v>
      </c>
    </row>
    <row r="102" spans="1:24" s="91" customFormat="1" ht="49.5" customHeight="1">
      <c r="A102" s="26" t="s">
        <v>51</v>
      </c>
      <c r="B102" s="27"/>
      <c r="C102" s="3">
        <v>8839.8</v>
      </c>
      <c r="D102" s="3">
        <v>8126.6</v>
      </c>
      <c r="E102" s="25">
        <f>L102-D102</f>
        <v>3180.2999999999993</v>
      </c>
      <c r="F102" s="25">
        <f>L102/D102*100</f>
        <v>139.13444737036397</v>
      </c>
      <c r="G102" s="3">
        <f>11421.3+1000</f>
        <v>12421.3</v>
      </c>
      <c r="H102" s="3">
        <f>ROUND(G102*$T$6,1)</f>
        <v>11386.2</v>
      </c>
      <c r="I102" s="219">
        <f>ROUND(G102*$T$7+G102*$T$8,1)</f>
        <v>11386.2</v>
      </c>
      <c r="J102" s="3">
        <v>13421.3</v>
      </c>
      <c r="K102" s="216">
        <v>12787</v>
      </c>
      <c r="L102" s="3">
        <v>11306.9</v>
      </c>
      <c r="M102" s="3" t="e">
        <f>L102-#REF!</f>
        <v>#REF!</v>
      </c>
      <c r="N102" s="25">
        <f t="shared" si="30"/>
        <v>91.02831426662266</v>
      </c>
      <c r="O102" s="25">
        <f t="shared" si="31"/>
        <v>99.30354288524704</v>
      </c>
      <c r="P102" s="25">
        <f t="shared" si="32"/>
        <v>88.42496285289747</v>
      </c>
      <c r="Q102" s="25">
        <f t="shared" si="43"/>
        <v>-79.30000000000109</v>
      </c>
      <c r="R102" s="25">
        <f t="shared" si="44"/>
        <v>-1480.1000000000004</v>
      </c>
      <c r="S102" s="88">
        <f t="shared" si="39"/>
        <v>0</v>
      </c>
      <c r="T102" s="176">
        <f t="shared" si="54"/>
        <v>1035.1083333333333</v>
      </c>
      <c r="U102" s="89">
        <f t="shared" si="47"/>
        <v>0</v>
      </c>
      <c r="V102" s="89">
        <f t="shared" si="48"/>
        <v>0</v>
      </c>
      <c r="W102" s="248">
        <f t="shared" si="45"/>
        <v>0</v>
      </c>
      <c r="X102" s="89">
        <f t="shared" si="46"/>
        <v>634.2999999999993</v>
      </c>
    </row>
    <row r="103" spans="1:24" s="91" customFormat="1" ht="49.5" customHeight="1">
      <c r="A103" s="26" t="s">
        <v>45</v>
      </c>
      <c r="B103" s="27"/>
      <c r="C103" s="3">
        <f>C104</f>
        <v>0</v>
      </c>
      <c r="D103" s="3">
        <f>D104</f>
        <v>0</v>
      </c>
      <c r="E103" s="25">
        <f>L103-D103</f>
        <v>0</v>
      </c>
      <c r="F103" s="247" t="e">
        <f>L103/D103*100</f>
        <v>#DIV/0!</v>
      </c>
      <c r="G103" s="3">
        <f aca="true" t="shared" si="58" ref="G103:M103">G104</f>
        <v>2074.9</v>
      </c>
      <c r="H103" s="3">
        <f t="shared" si="58"/>
        <v>1902</v>
      </c>
      <c r="I103" s="216">
        <f t="shared" si="58"/>
        <v>1902</v>
      </c>
      <c r="J103" s="3">
        <f t="shared" si="58"/>
        <v>977.6</v>
      </c>
      <c r="K103" s="216">
        <f t="shared" si="58"/>
        <v>894.5</v>
      </c>
      <c r="L103" s="3">
        <f t="shared" si="58"/>
        <v>0</v>
      </c>
      <c r="M103" s="3">
        <f t="shared" si="58"/>
        <v>0</v>
      </c>
      <c r="N103" s="25">
        <f>L103/G103*100</f>
        <v>0</v>
      </c>
      <c r="O103" s="25">
        <f>L103/I103*100</f>
        <v>0</v>
      </c>
      <c r="P103" s="25">
        <f>L103/K103*100</f>
        <v>0</v>
      </c>
      <c r="Q103" s="25">
        <f t="shared" si="43"/>
        <v>-1902</v>
      </c>
      <c r="R103" s="25">
        <f t="shared" si="44"/>
        <v>-894.5</v>
      </c>
      <c r="S103" s="88"/>
      <c r="T103" s="176"/>
      <c r="U103" s="89"/>
      <c r="V103" s="89"/>
      <c r="W103" s="248">
        <f t="shared" si="45"/>
        <v>0</v>
      </c>
      <c r="X103" s="89">
        <f t="shared" si="46"/>
        <v>83.10000000000002</v>
      </c>
    </row>
    <row r="104" spans="1:24" s="91" customFormat="1" ht="87" customHeight="1">
      <c r="A104" s="26" t="s">
        <v>46</v>
      </c>
      <c r="B104" s="27"/>
      <c r="C104" s="3"/>
      <c r="D104" s="3"/>
      <c r="E104" s="25">
        <f>L104-D104</f>
        <v>0</v>
      </c>
      <c r="F104" s="247" t="e">
        <f>L104/D104*100</f>
        <v>#DIV/0!</v>
      </c>
      <c r="G104" s="3">
        <v>2074.9</v>
      </c>
      <c r="H104" s="3">
        <f>ROUND(G104*$T$6,1)</f>
        <v>1902</v>
      </c>
      <c r="I104" s="219">
        <f>ROUND(G104*$T$7+G104*$T$8,1)</f>
        <v>1902</v>
      </c>
      <c r="J104" s="3">
        <v>977.6</v>
      </c>
      <c r="K104" s="216">
        <v>894.5</v>
      </c>
      <c r="L104" s="3"/>
      <c r="M104" s="3">
        <f>L104</f>
        <v>0</v>
      </c>
      <c r="N104" s="25">
        <f>L104/G104*100</f>
        <v>0</v>
      </c>
      <c r="O104" s="25">
        <f>L104/I104*100</f>
        <v>0</v>
      </c>
      <c r="P104" s="25">
        <f>L104/K104*100</f>
        <v>0</v>
      </c>
      <c r="Q104" s="25">
        <f t="shared" si="43"/>
        <v>-1902</v>
      </c>
      <c r="R104" s="25">
        <f t="shared" si="44"/>
        <v>-894.5</v>
      </c>
      <c r="S104" s="88"/>
      <c r="T104" s="176"/>
      <c r="U104" s="89"/>
      <c r="V104" s="89"/>
      <c r="W104" s="248">
        <f t="shared" si="45"/>
        <v>0</v>
      </c>
      <c r="X104" s="89">
        <f t="shared" si="46"/>
        <v>83.10000000000002</v>
      </c>
    </row>
    <row r="105" spans="1:24" s="92" customFormat="1" ht="65.25" customHeight="1">
      <c r="A105" s="28" t="s">
        <v>157</v>
      </c>
      <c r="B105" s="27">
        <v>41034500</v>
      </c>
      <c r="C105" s="3">
        <v>16941.5</v>
      </c>
      <c r="D105" s="3">
        <v>35491.83217</v>
      </c>
      <c r="E105" s="25">
        <f>L105-D105</f>
        <v>16739.867829999996</v>
      </c>
      <c r="F105" s="25">
        <f>L105/D105*100</f>
        <v>147.1654090716388</v>
      </c>
      <c r="G105" s="3">
        <f>9868.5+1590+0.1+600+13812.9</f>
        <v>25871.5</v>
      </c>
      <c r="H105" s="3">
        <f t="shared" si="56"/>
        <v>23715.5</v>
      </c>
      <c r="I105" s="219">
        <f t="shared" si="57"/>
        <v>23715.5</v>
      </c>
      <c r="J105" s="3">
        <v>35741.5</v>
      </c>
      <c r="K105" s="216">
        <v>32780.5</v>
      </c>
      <c r="L105" s="3">
        <v>52231.7</v>
      </c>
      <c r="M105" s="3" t="e">
        <f>L105-#REF!</f>
        <v>#REF!</v>
      </c>
      <c r="N105" s="25">
        <f t="shared" si="30"/>
        <v>201.8889511624761</v>
      </c>
      <c r="O105" s="25">
        <f t="shared" si="31"/>
        <v>220.2428791296831</v>
      </c>
      <c r="P105" s="25">
        <f t="shared" si="32"/>
        <v>159.33771602019493</v>
      </c>
      <c r="Q105" s="25">
        <f t="shared" si="43"/>
        <v>28516.199999999997</v>
      </c>
      <c r="R105" s="25">
        <f t="shared" si="44"/>
        <v>19451.199999999997</v>
      </c>
      <c r="S105" s="88">
        <f t="shared" si="39"/>
        <v>0</v>
      </c>
      <c r="T105" s="176">
        <f t="shared" si="54"/>
        <v>2155.9583333333335</v>
      </c>
      <c r="U105" s="89">
        <f t="shared" si="47"/>
        <v>0</v>
      </c>
      <c r="V105" s="89">
        <f t="shared" si="48"/>
        <v>0</v>
      </c>
      <c r="W105" s="248">
        <f t="shared" si="45"/>
        <v>0</v>
      </c>
      <c r="X105" s="89">
        <f t="shared" si="46"/>
        <v>2961</v>
      </c>
    </row>
    <row r="106" spans="1:24" s="92" customFormat="1" ht="23.25" customHeight="1">
      <c r="A106" s="29" t="s">
        <v>52</v>
      </c>
      <c r="B106" s="30">
        <v>41035000</v>
      </c>
      <c r="C106" s="3">
        <f>C112+C113+C114+C115+C116+C117+C118+C120+C119+C107+C121+C122</f>
        <v>2439.7999999999997</v>
      </c>
      <c r="D106" s="3">
        <f>D112+D113+D114+D115+D116+D117+D118+D120+D119+D107+D121+D111+D110+D109+D108+D122</f>
        <v>2179.2000000000003</v>
      </c>
      <c r="E106" s="3">
        <f>E112+E113+E114+E115+E116+E117+E118+E120+E119+E107+E121+E111+E110+E108+E109+E122</f>
        <v>1574.8999999999999</v>
      </c>
      <c r="F106" s="25">
        <f t="shared" si="41"/>
        <v>172.26964023494858</v>
      </c>
      <c r="G106" s="3">
        <f aca="true" t="shared" si="59" ref="G106:L106">G112+G113+G114+G115+G116+G117+G118+G120+G119+G107+G121+G122</f>
        <v>3981</v>
      </c>
      <c r="H106" s="3">
        <f t="shared" si="59"/>
        <v>3649.3</v>
      </c>
      <c r="I106" s="216">
        <f t="shared" si="59"/>
        <v>3649.3</v>
      </c>
      <c r="J106" s="3">
        <f t="shared" si="59"/>
        <v>4130.3</v>
      </c>
      <c r="K106" s="216">
        <f t="shared" si="59"/>
        <v>4106</v>
      </c>
      <c r="L106" s="3">
        <f t="shared" si="59"/>
        <v>3754.1000000000004</v>
      </c>
      <c r="M106" s="3" t="e">
        <f>M112+M113+M114+M115+M116+M117+M118+M120+M119+M121+M122</f>
        <v>#REF!</v>
      </c>
      <c r="N106" s="25">
        <f t="shared" si="30"/>
        <v>94.30042702838483</v>
      </c>
      <c r="O106" s="25">
        <f t="shared" si="31"/>
        <v>102.87178362973721</v>
      </c>
      <c r="P106" s="25">
        <f t="shared" si="32"/>
        <v>91.4296151972723</v>
      </c>
      <c r="Q106" s="25">
        <f t="shared" si="43"/>
        <v>104.80000000000018</v>
      </c>
      <c r="R106" s="25">
        <f t="shared" si="44"/>
        <v>-351.89999999999964</v>
      </c>
      <c r="S106" s="88">
        <f t="shared" si="39"/>
        <v>0</v>
      </c>
      <c r="T106" s="176">
        <f t="shared" si="54"/>
        <v>331.75</v>
      </c>
      <c r="U106" s="89">
        <f t="shared" si="47"/>
        <v>0</v>
      </c>
      <c r="V106" s="89">
        <f t="shared" si="48"/>
        <v>0</v>
      </c>
      <c r="W106" s="248">
        <f t="shared" si="45"/>
        <v>0</v>
      </c>
      <c r="X106" s="89">
        <f t="shared" si="46"/>
        <v>24.300000000000182</v>
      </c>
    </row>
    <row r="107" spans="1:24" s="91" customFormat="1" ht="81" customHeight="1" hidden="1">
      <c r="A107" s="29"/>
      <c r="B107" s="30"/>
      <c r="C107" s="3"/>
      <c r="D107" s="3"/>
      <c r="E107" s="25"/>
      <c r="F107" s="14"/>
      <c r="G107" s="3"/>
      <c r="H107" s="3"/>
      <c r="I107" s="216"/>
      <c r="J107" s="3"/>
      <c r="K107" s="216"/>
      <c r="L107" s="3"/>
      <c r="M107" s="3"/>
      <c r="N107" s="14"/>
      <c r="O107" s="14"/>
      <c r="P107" s="14"/>
      <c r="Q107" s="25"/>
      <c r="R107" s="25"/>
      <c r="S107" s="88"/>
      <c r="T107" s="176"/>
      <c r="U107" s="89"/>
      <c r="V107" s="89"/>
      <c r="W107" s="248"/>
      <c r="X107" s="89"/>
    </row>
    <row r="108" spans="1:24" s="91" customFormat="1" ht="81" customHeight="1" hidden="1">
      <c r="A108" s="29"/>
      <c r="B108" s="30"/>
      <c r="C108" s="3"/>
      <c r="D108" s="3"/>
      <c r="E108" s="25"/>
      <c r="F108" s="14"/>
      <c r="G108" s="3"/>
      <c r="H108" s="3"/>
      <c r="I108" s="216"/>
      <c r="J108" s="3"/>
      <c r="K108" s="216"/>
      <c r="L108" s="3"/>
      <c r="M108" s="3"/>
      <c r="N108" s="14"/>
      <c r="O108" s="14"/>
      <c r="P108" s="14"/>
      <c r="Q108" s="25"/>
      <c r="R108" s="25"/>
      <c r="S108" s="88"/>
      <c r="T108" s="176"/>
      <c r="U108" s="89"/>
      <c r="V108" s="89"/>
      <c r="W108" s="248"/>
      <c r="X108" s="89"/>
    </row>
    <row r="109" spans="1:24" s="91" customFormat="1" ht="81" customHeight="1" hidden="1">
      <c r="A109" s="29"/>
      <c r="B109" s="30"/>
      <c r="C109" s="3"/>
      <c r="D109" s="3"/>
      <c r="E109" s="25"/>
      <c r="F109" s="14"/>
      <c r="G109" s="3"/>
      <c r="H109" s="3"/>
      <c r="I109" s="216"/>
      <c r="J109" s="3"/>
      <c r="K109" s="216"/>
      <c r="L109" s="3"/>
      <c r="M109" s="3"/>
      <c r="N109" s="14"/>
      <c r="O109" s="14"/>
      <c r="P109" s="14"/>
      <c r="Q109" s="25"/>
      <c r="R109" s="25"/>
      <c r="S109" s="88"/>
      <c r="T109" s="176"/>
      <c r="U109" s="89"/>
      <c r="V109" s="89"/>
      <c r="W109" s="248"/>
      <c r="X109" s="89"/>
    </row>
    <row r="110" spans="1:24" s="91" customFormat="1" ht="33.75" customHeight="1" hidden="1">
      <c r="A110" s="26"/>
      <c r="B110" s="30"/>
      <c r="C110" s="3"/>
      <c r="D110" s="3"/>
      <c r="E110" s="25"/>
      <c r="F110" s="14"/>
      <c r="G110" s="3"/>
      <c r="H110" s="3"/>
      <c r="I110" s="216"/>
      <c r="J110" s="3"/>
      <c r="K110" s="216"/>
      <c r="L110" s="3"/>
      <c r="M110" s="3"/>
      <c r="N110" s="14"/>
      <c r="O110" s="14"/>
      <c r="P110" s="14"/>
      <c r="Q110" s="25"/>
      <c r="R110" s="25"/>
      <c r="S110" s="88"/>
      <c r="T110" s="176"/>
      <c r="U110" s="89"/>
      <c r="V110" s="89"/>
      <c r="W110" s="248"/>
      <c r="X110" s="89"/>
    </row>
    <row r="111" spans="1:24" s="91" customFormat="1" ht="66" customHeight="1" hidden="1">
      <c r="A111" s="29"/>
      <c r="B111" s="30"/>
      <c r="C111" s="3"/>
      <c r="D111" s="3"/>
      <c r="E111" s="25"/>
      <c r="F111" s="14"/>
      <c r="G111" s="3"/>
      <c r="H111" s="3"/>
      <c r="I111" s="216"/>
      <c r="J111" s="3"/>
      <c r="K111" s="216"/>
      <c r="L111" s="3"/>
      <c r="M111" s="3"/>
      <c r="N111" s="14"/>
      <c r="O111" s="14"/>
      <c r="P111" s="14"/>
      <c r="Q111" s="25"/>
      <c r="R111" s="25"/>
      <c r="S111" s="88"/>
      <c r="T111" s="176"/>
      <c r="U111" s="89"/>
      <c r="V111" s="89"/>
      <c r="W111" s="248"/>
      <c r="X111" s="89"/>
    </row>
    <row r="112" spans="1:24" s="91" customFormat="1" ht="97.5" customHeight="1">
      <c r="A112" s="29" t="s">
        <v>148</v>
      </c>
      <c r="B112" s="30"/>
      <c r="C112" s="3">
        <v>288</v>
      </c>
      <c r="D112" s="3">
        <v>264</v>
      </c>
      <c r="E112" s="25">
        <f>L112-D112</f>
        <v>-4</v>
      </c>
      <c r="F112" s="25">
        <f t="shared" si="41"/>
        <v>98.48484848484848</v>
      </c>
      <c r="G112" s="3">
        <v>288</v>
      </c>
      <c r="H112" s="3">
        <f aca="true" t="shared" si="60" ref="H112:H120">ROUND(G112*$T$6,1)</f>
        <v>264</v>
      </c>
      <c r="I112" s="216">
        <f aca="true" t="shared" si="61" ref="I112:I120">ROUND(G112*$T$7+G112*$T$8,1)</f>
        <v>264</v>
      </c>
      <c r="J112" s="3">
        <v>288</v>
      </c>
      <c r="K112" s="216">
        <v>280.8</v>
      </c>
      <c r="L112" s="3">
        <v>260</v>
      </c>
      <c r="M112" s="3" t="e">
        <f>L112-#REF!</f>
        <v>#REF!</v>
      </c>
      <c r="N112" s="25">
        <f t="shared" si="30"/>
        <v>90.27777777777779</v>
      </c>
      <c r="O112" s="25">
        <f t="shared" si="31"/>
        <v>98.48484848484848</v>
      </c>
      <c r="P112" s="25">
        <f t="shared" si="32"/>
        <v>92.5925925925926</v>
      </c>
      <c r="Q112" s="25">
        <f t="shared" si="43"/>
        <v>-4</v>
      </c>
      <c r="R112" s="25">
        <f t="shared" si="44"/>
        <v>-20.80000000000001</v>
      </c>
      <c r="S112" s="88">
        <f t="shared" si="39"/>
        <v>0</v>
      </c>
      <c r="T112" s="89">
        <f t="shared" si="49"/>
        <v>0</v>
      </c>
      <c r="U112" s="89">
        <f t="shared" si="47"/>
        <v>0</v>
      </c>
      <c r="V112" s="89">
        <f t="shared" si="48"/>
        <v>0</v>
      </c>
      <c r="W112" s="248">
        <f t="shared" si="45"/>
        <v>0</v>
      </c>
      <c r="X112" s="89">
        <f t="shared" si="46"/>
        <v>7.199999999999989</v>
      </c>
    </row>
    <row r="113" spans="1:24" s="91" customFormat="1" ht="35.25" customHeight="1">
      <c r="A113" s="31" t="s">
        <v>309</v>
      </c>
      <c r="B113" s="30"/>
      <c r="C113" s="3">
        <v>0.8</v>
      </c>
      <c r="D113" s="3">
        <v>0.8</v>
      </c>
      <c r="E113" s="25">
        <f aca="true" t="shared" si="62" ref="E113:E130">L113-D113</f>
        <v>-0.6000000000000001</v>
      </c>
      <c r="F113" s="25">
        <f t="shared" si="41"/>
        <v>25</v>
      </c>
      <c r="G113" s="3">
        <v>5.2</v>
      </c>
      <c r="H113" s="3">
        <f t="shared" si="60"/>
        <v>4.8</v>
      </c>
      <c r="I113" s="216">
        <f t="shared" si="61"/>
        <v>4.8</v>
      </c>
      <c r="J113" s="3">
        <v>5.2</v>
      </c>
      <c r="K113" s="216">
        <v>5.1</v>
      </c>
      <c r="L113" s="3">
        <v>0.2</v>
      </c>
      <c r="M113" s="3" t="e">
        <f>L113-#REF!</f>
        <v>#REF!</v>
      </c>
      <c r="N113" s="25">
        <f t="shared" si="30"/>
        <v>3.8461538461538463</v>
      </c>
      <c r="O113" s="25">
        <f t="shared" si="31"/>
        <v>4.166666666666667</v>
      </c>
      <c r="P113" s="25">
        <f t="shared" si="32"/>
        <v>3.921568627450981</v>
      </c>
      <c r="Q113" s="25">
        <f t="shared" si="43"/>
        <v>-4.6</v>
      </c>
      <c r="R113" s="25">
        <f t="shared" si="44"/>
        <v>-4.8999999999999995</v>
      </c>
      <c r="S113" s="88">
        <f t="shared" si="39"/>
        <v>0</v>
      </c>
      <c r="T113" s="89">
        <f t="shared" si="49"/>
        <v>0</v>
      </c>
      <c r="U113" s="89">
        <f t="shared" si="47"/>
        <v>0</v>
      </c>
      <c r="V113" s="89">
        <f t="shared" si="48"/>
        <v>0</v>
      </c>
      <c r="W113" s="248">
        <f t="shared" si="45"/>
        <v>0</v>
      </c>
      <c r="X113" s="89">
        <f t="shared" si="46"/>
        <v>0.10000000000000053</v>
      </c>
    </row>
    <row r="114" spans="1:24" s="91" customFormat="1" ht="51.75" customHeight="1">
      <c r="A114" s="31" t="s">
        <v>149</v>
      </c>
      <c r="B114" s="30"/>
      <c r="C114" s="3">
        <v>382.7</v>
      </c>
      <c r="D114" s="3">
        <v>311.5</v>
      </c>
      <c r="E114" s="25">
        <f t="shared" si="62"/>
        <v>6.699999999999989</v>
      </c>
      <c r="F114" s="25">
        <f>L114/D114*100</f>
        <v>102.15088282504013</v>
      </c>
      <c r="G114" s="3">
        <v>390</v>
      </c>
      <c r="H114" s="3">
        <f t="shared" si="60"/>
        <v>357.5</v>
      </c>
      <c r="I114" s="216">
        <f>ROUND(G114*$T$7+G114*$T$8,1)</f>
        <v>357.5</v>
      </c>
      <c r="J114" s="3">
        <v>390</v>
      </c>
      <c r="K114" s="216">
        <v>380.2</v>
      </c>
      <c r="L114" s="3">
        <v>318.2</v>
      </c>
      <c r="M114" s="3" t="e">
        <f>L114-#REF!</f>
        <v>#REF!</v>
      </c>
      <c r="N114" s="25">
        <f t="shared" si="30"/>
        <v>81.58974358974359</v>
      </c>
      <c r="O114" s="25">
        <f t="shared" si="31"/>
        <v>89.00699300699301</v>
      </c>
      <c r="P114" s="25">
        <f t="shared" si="32"/>
        <v>83.69279326670174</v>
      </c>
      <c r="Q114" s="25">
        <f t="shared" si="43"/>
        <v>-39.30000000000001</v>
      </c>
      <c r="R114" s="25">
        <f t="shared" si="44"/>
        <v>-62</v>
      </c>
      <c r="S114" s="88">
        <f t="shared" si="39"/>
        <v>0</v>
      </c>
      <c r="T114" s="89">
        <f t="shared" si="49"/>
        <v>0</v>
      </c>
      <c r="U114" s="89">
        <f t="shared" si="47"/>
        <v>0</v>
      </c>
      <c r="V114" s="89">
        <f t="shared" si="48"/>
        <v>0</v>
      </c>
      <c r="W114" s="248">
        <f t="shared" si="45"/>
        <v>0</v>
      </c>
      <c r="X114" s="89">
        <f t="shared" si="46"/>
        <v>9.800000000000011</v>
      </c>
    </row>
    <row r="115" spans="1:24" s="91" customFormat="1" ht="33" customHeight="1">
      <c r="A115" s="29" t="s">
        <v>150</v>
      </c>
      <c r="B115" s="30"/>
      <c r="C115" s="3">
        <v>173.8</v>
      </c>
      <c r="D115" s="3">
        <v>147.6</v>
      </c>
      <c r="E115" s="25">
        <f t="shared" si="62"/>
        <v>-0.9000000000000057</v>
      </c>
      <c r="F115" s="25">
        <f t="shared" si="41"/>
        <v>99.39024390243902</v>
      </c>
      <c r="G115" s="3">
        <f>196.1-8.5</f>
        <v>187.6</v>
      </c>
      <c r="H115" s="3">
        <f>ROUND(G115*$T$6,1)</f>
        <v>172</v>
      </c>
      <c r="I115" s="216">
        <f>ROUND(G115*$T$7+G115*$T$8,1)</f>
        <v>172</v>
      </c>
      <c r="J115" s="3">
        <v>184.1</v>
      </c>
      <c r="K115" s="216">
        <v>184.1</v>
      </c>
      <c r="L115" s="3">
        <v>146.7</v>
      </c>
      <c r="M115" s="3" t="e">
        <f>L115-#REF!</f>
        <v>#REF!</v>
      </c>
      <c r="N115" s="25">
        <f t="shared" si="30"/>
        <v>78.19829424307035</v>
      </c>
      <c r="O115" s="25">
        <f t="shared" si="31"/>
        <v>85.29069767441861</v>
      </c>
      <c r="P115" s="25">
        <f t="shared" si="32"/>
        <v>79.68495382944052</v>
      </c>
      <c r="Q115" s="25">
        <f t="shared" si="43"/>
        <v>-25.30000000000001</v>
      </c>
      <c r="R115" s="25">
        <f t="shared" si="44"/>
        <v>-37.400000000000006</v>
      </c>
      <c r="S115" s="88">
        <f t="shared" si="39"/>
        <v>0</v>
      </c>
      <c r="T115" s="89">
        <f t="shared" si="49"/>
        <v>0</v>
      </c>
      <c r="U115" s="89">
        <f t="shared" si="47"/>
        <v>0</v>
      </c>
      <c r="V115" s="89">
        <f t="shared" si="48"/>
        <v>0</v>
      </c>
      <c r="W115" s="248">
        <f t="shared" si="45"/>
        <v>0</v>
      </c>
      <c r="X115" s="89">
        <f t="shared" si="46"/>
        <v>0</v>
      </c>
    </row>
    <row r="116" spans="1:24" s="91" customFormat="1" ht="31.5" customHeight="1">
      <c r="A116" s="29" t="s">
        <v>151</v>
      </c>
      <c r="B116" s="30"/>
      <c r="C116" s="3">
        <v>57.3</v>
      </c>
      <c r="D116" s="3">
        <v>52.6</v>
      </c>
      <c r="E116" s="25">
        <f t="shared" si="62"/>
        <v>-52.6</v>
      </c>
      <c r="F116" s="25">
        <f t="shared" si="41"/>
        <v>0</v>
      </c>
      <c r="G116" s="3"/>
      <c r="H116" s="3">
        <f t="shared" si="60"/>
        <v>0</v>
      </c>
      <c r="I116" s="216">
        <f t="shared" si="61"/>
        <v>0</v>
      </c>
      <c r="J116" s="3"/>
      <c r="K116" s="216"/>
      <c r="L116" s="3"/>
      <c r="M116" s="3" t="e">
        <f>L116-#REF!</f>
        <v>#REF!</v>
      </c>
      <c r="N116" s="93" t="e">
        <f t="shared" si="30"/>
        <v>#DIV/0!</v>
      </c>
      <c r="O116" s="93" t="e">
        <f t="shared" si="31"/>
        <v>#DIV/0!</v>
      </c>
      <c r="P116" s="93" t="e">
        <f t="shared" si="32"/>
        <v>#DIV/0!</v>
      </c>
      <c r="Q116" s="25">
        <f t="shared" si="43"/>
        <v>0</v>
      </c>
      <c r="R116" s="25">
        <f t="shared" si="44"/>
        <v>0</v>
      </c>
      <c r="S116" s="88">
        <f t="shared" si="39"/>
        <v>0</v>
      </c>
      <c r="T116" s="89">
        <f t="shared" si="49"/>
        <v>0</v>
      </c>
      <c r="U116" s="89" t="e">
        <f t="shared" si="47"/>
        <v>#DIV/0!</v>
      </c>
      <c r="V116" s="89" t="e">
        <f t="shared" si="48"/>
        <v>#DIV/0!</v>
      </c>
      <c r="W116" s="248">
        <f t="shared" si="45"/>
        <v>0</v>
      </c>
      <c r="X116" s="89">
        <f t="shared" si="46"/>
        <v>0</v>
      </c>
    </row>
    <row r="117" spans="1:24" s="91" customFormat="1" ht="64.5" customHeight="1">
      <c r="A117" s="31" t="s">
        <v>296</v>
      </c>
      <c r="B117" s="30"/>
      <c r="C117" s="3">
        <v>143.5</v>
      </c>
      <c r="D117" s="3">
        <v>142.8</v>
      </c>
      <c r="E117" s="25">
        <f t="shared" si="62"/>
        <v>23.599999999999994</v>
      </c>
      <c r="F117" s="25">
        <f t="shared" si="41"/>
        <v>116.52661064425769</v>
      </c>
      <c r="G117" s="3">
        <v>176.6</v>
      </c>
      <c r="H117" s="3">
        <f>ROUND(G117*$T$6,1)</f>
        <v>161.9</v>
      </c>
      <c r="I117" s="216">
        <f>ROUND(G117*$T$7+G117*$T$8,1)</f>
        <v>161.9</v>
      </c>
      <c r="J117" s="3">
        <v>176.6</v>
      </c>
      <c r="K117" s="216">
        <v>176.6</v>
      </c>
      <c r="L117" s="3">
        <v>166.4</v>
      </c>
      <c r="M117" s="3" t="e">
        <f>L117-#REF!</f>
        <v>#REF!</v>
      </c>
      <c r="N117" s="25">
        <f t="shared" si="30"/>
        <v>94.22423556058891</v>
      </c>
      <c r="O117" s="25">
        <f t="shared" si="31"/>
        <v>102.77949351451514</v>
      </c>
      <c r="P117" s="25">
        <f t="shared" si="32"/>
        <v>94.22423556058891</v>
      </c>
      <c r="Q117" s="25">
        <f t="shared" si="43"/>
        <v>4.5</v>
      </c>
      <c r="R117" s="25">
        <f t="shared" si="44"/>
        <v>-10.199999999999989</v>
      </c>
      <c r="S117" s="88">
        <f t="shared" si="39"/>
        <v>0</v>
      </c>
      <c r="T117" s="89">
        <f t="shared" si="49"/>
        <v>0</v>
      </c>
      <c r="U117" s="89">
        <f t="shared" si="47"/>
        <v>0</v>
      </c>
      <c r="V117" s="89">
        <f t="shared" si="48"/>
        <v>0</v>
      </c>
      <c r="W117" s="248">
        <f t="shared" si="45"/>
        <v>0</v>
      </c>
      <c r="X117" s="89">
        <f t="shared" si="46"/>
        <v>0</v>
      </c>
    </row>
    <row r="118" spans="1:24" s="91" customFormat="1" ht="91.5" customHeight="1">
      <c r="A118" s="31" t="s">
        <v>54</v>
      </c>
      <c r="B118" s="30"/>
      <c r="C118" s="3">
        <v>893.5</v>
      </c>
      <c r="D118" s="3">
        <v>893.5</v>
      </c>
      <c r="E118" s="25">
        <f t="shared" si="62"/>
        <v>274.20000000000005</v>
      </c>
      <c r="F118" s="25">
        <f t="shared" si="41"/>
        <v>130.68830442081702</v>
      </c>
      <c r="G118" s="3">
        <v>1169.6</v>
      </c>
      <c r="H118" s="3">
        <f t="shared" si="60"/>
        <v>1072.1</v>
      </c>
      <c r="I118" s="216">
        <f t="shared" si="61"/>
        <v>1072.1</v>
      </c>
      <c r="J118" s="3">
        <v>1169.6</v>
      </c>
      <c r="K118" s="216">
        <v>1169.6</v>
      </c>
      <c r="L118" s="3">
        <f>1167.7</f>
        <v>1167.7</v>
      </c>
      <c r="M118" s="255" t="e">
        <f>L118-#REF!</f>
        <v>#REF!</v>
      </c>
      <c r="N118" s="25">
        <f t="shared" si="30"/>
        <v>99.8375512995896</v>
      </c>
      <c r="O118" s="25">
        <f t="shared" si="31"/>
        <v>108.91707863072475</v>
      </c>
      <c r="P118" s="25">
        <f t="shared" si="32"/>
        <v>99.8375512995896</v>
      </c>
      <c r="Q118" s="25">
        <f t="shared" si="43"/>
        <v>95.60000000000014</v>
      </c>
      <c r="R118" s="25">
        <f t="shared" si="44"/>
        <v>-1.8999999999998636</v>
      </c>
      <c r="S118" s="88">
        <f t="shared" si="39"/>
        <v>0</v>
      </c>
      <c r="T118" s="89">
        <f t="shared" si="49"/>
        <v>0</v>
      </c>
      <c r="U118" s="89">
        <f t="shared" si="47"/>
        <v>0</v>
      </c>
      <c r="V118" s="89">
        <f t="shared" si="48"/>
        <v>0</v>
      </c>
      <c r="W118" s="248">
        <f t="shared" si="45"/>
        <v>0</v>
      </c>
      <c r="X118" s="89">
        <f t="shared" si="46"/>
        <v>0</v>
      </c>
    </row>
    <row r="119" spans="1:24" s="92" customFormat="1" ht="49.5" customHeight="1">
      <c r="A119" s="31" t="s">
        <v>50</v>
      </c>
      <c r="B119" s="30"/>
      <c r="C119" s="3">
        <v>114</v>
      </c>
      <c r="D119" s="3">
        <v>40</v>
      </c>
      <c r="E119" s="25">
        <f t="shared" si="62"/>
        <v>1.8999999999999986</v>
      </c>
      <c r="F119" s="25">
        <f t="shared" si="41"/>
        <v>104.74999999999999</v>
      </c>
      <c r="G119" s="3">
        <f>35+15+5</f>
        <v>55</v>
      </c>
      <c r="H119" s="3">
        <f t="shared" si="60"/>
        <v>50.4</v>
      </c>
      <c r="I119" s="216">
        <f t="shared" si="61"/>
        <v>50.4</v>
      </c>
      <c r="J119" s="3">
        <v>50</v>
      </c>
      <c r="K119" s="216">
        <v>50</v>
      </c>
      <c r="L119" s="3">
        <v>41.9</v>
      </c>
      <c r="M119" s="3" t="e">
        <f>L119-#REF!</f>
        <v>#REF!</v>
      </c>
      <c r="N119" s="25">
        <f t="shared" si="30"/>
        <v>76.18181818181819</v>
      </c>
      <c r="O119" s="25">
        <f t="shared" si="31"/>
        <v>83.13492063492063</v>
      </c>
      <c r="P119" s="25">
        <f t="shared" si="32"/>
        <v>83.8</v>
      </c>
      <c r="Q119" s="25">
        <f t="shared" si="43"/>
        <v>-8.5</v>
      </c>
      <c r="R119" s="25">
        <f t="shared" si="44"/>
        <v>-8.100000000000001</v>
      </c>
      <c r="S119" s="88">
        <f t="shared" si="39"/>
        <v>0</v>
      </c>
      <c r="T119" s="89">
        <f t="shared" si="49"/>
        <v>0</v>
      </c>
      <c r="U119" s="89">
        <f t="shared" si="47"/>
        <v>0</v>
      </c>
      <c r="V119" s="89">
        <f t="shared" si="48"/>
        <v>0</v>
      </c>
      <c r="W119" s="248">
        <f t="shared" si="45"/>
        <v>0</v>
      </c>
      <c r="X119" s="89">
        <f t="shared" si="46"/>
        <v>0</v>
      </c>
    </row>
    <row r="120" spans="1:24" s="91" customFormat="1" ht="34.5" customHeight="1">
      <c r="A120" s="32" t="s">
        <v>156</v>
      </c>
      <c r="B120" s="30"/>
      <c r="C120" s="3">
        <v>263.2</v>
      </c>
      <c r="D120" s="8">
        <v>238.6</v>
      </c>
      <c r="E120" s="25">
        <f t="shared" si="62"/>
        <v>292.9</v>
      </c>
      <c r="F120" s="25">
        <f t="shared" si="41"/>
        <v>222.7577535624476</v>
      </c>
      <c r="G120" s="3">
        <f>230.2+284.4+17</f>
        <v>531.5999999999999</v>
      </c>
      <c r="H120" s="3">
        <f t="shared" si="60"/>
        <v>487.3</v>
      </c>
      <c r="I120" s="216">
        <f t="shared" si="61"/>
        <v>487.3</v>
      </c>
      <c r="J120" s="3">
        <v>555.5</v>
      </c>
      <c r="K120" s="216">
        <v>548.3</v>
      </c>
      <c r="L120" s="3">
        <v>531.5</v>
      </c>
      <c r="M120" s="3" t="e">
        <f>L120-#REF!</f>
        <v>#REF!</v>
      </c>
      <c r="N120" s="25">
        <f>L120/G120*100</f>
        <v>99.98118886380739</v>
      </c>
      <c r="O120" s="25">
        <f>L120/I120*100</f>
        <v>109.07038785142622</v>
      </c>
      <c r="P120" s="25">
        <f>L120/K120*100</f>
        <v>96.93598395039213</v>
      </c>
      <c r="Q120" s="25">
        <f t="shared" si="43"/>
        <v>44.19999999999999</v>
      </c>
      <c r="R120" s="25">
        <f t="shared" si="44"/>
        <v>-16.799999999999955</v>
      </c>
      <c r="S120" s="88">
        <f t="shared" si="39"/>
        <v>0</v>
      </c>
      <c r="T120" s="89">
        <f t="shared" si="49"/>
        <v>0</v>
      </c>
      <c r="U120" s="89">
        <f t="shared" si="47"/>
        <v>0</v>
      </c>
      <c r="V120" s="89">
        <f t="shared" si="48"/>
        <v>0</v>
      </c>
      <c r="W120" s="248">
        <f t="shared" si="45"/>
        <v>0</v>
      </c>
      <c r="X120" s="89">
        <f t="shared" si="46"/>
        <v>7.2000000000000455</v>
      </c>
    </row>
    <row r="121" spans="1:24" s="94" customFormat="1" ht="138.75" customHeight="1">
      <c r="A121" s="38" t="s">
        <v>53</v>
      </c>
      <c r="B121" s="33"/>
      <c r="C121" s="3">
        <v>123</v>
      </c>
      <c r="D121" s="8">
        <v>87.8</v>
      </c>
      <c r="E121" s="25">
        <f t="shared" si="62"/>
        <v>722.9000000000001</v>
      </c>
      <c r="F121" s="25">
        <f t="shared" si="41"/>
        <v>923.3485193621868</v>
      </c>
      <c r="G121" s="3">
        <f>68.4+662.6+2.4+39.5+49.1</f>
        <v>822</v>
      </c>
      <c r="H121" s="3">
        <f>ROUND(G121*$T$6,1)</f>
        <v>753.5</v>
      </c>
      <c r="I121" s="216">
        <f>ROUND(G121*$T$7+G121*$T$8,1)</f>
        <v>753.5</v>
      </c>
      <c r="J121" s="3">
        <v>910.7</v>
      </c>
      <c r="K121" s="216">
        <v>910.7</v>
      </c>
      <c r="L121" s="3">
        <v>810.7</v>
      </c>
      <c r="M121" s="3" t="e">
        <f>L121-#REF!</f>
        <v>#REF!</v>
      </c>
      <c r="N121" s="25">
        <f t="shared" si="30"/>
        <v>98.62530413625305</v>
      </c>
      <c r="O121" s="25">
        <f t="shared" si="31"/>
        <v>107.5912408759124</v>
      </c>
      <c r="P121" s="25">
        <f t="shared" si="32"/>
        <v>89.01943559898979</v>
      </c>
      <c r="Q121" s="25">
        <f t="shared" si="43"/>
        <v>57.200000000000045</v>
      </c>
      <c r="R121" s="25">
        <f t="shared" si="44"/>
        <v>-100</v>
      </c>
      <c r="S121" s="88">
        <f t="shared" si="39"/>
        <v>0</v>
      </c>
      <c r="T121" s="89">
        <f t="shared" si="49"/>
        <v>0</v>
      </c>
      <c r="U121" s="89">
        <f t="shared" si="47"/>
        <v>0</v>
      </c>
      <c r="V121" s="89">
        <f t="shared" si="48"/>
        <v>0</v>
      </c>
      <c r="W121" s="248">
        <f t="shared" si="45"/>
        <v>0</v>
      </c>
      <c r="X121" s="89">
        <f t="shared" si="46"/>
        <v>0</v>
      </c>
    </row>
    <row r="122" spans="1:24" s="94" customFormat="1" ht="30">
      <c r="A122" s="38" t="s">
        <v>311</v>
      </c>
      <c r="B122" s="33"/>
      <c r="C122" s="3"/>
      <c r="D122" s="8"/>
      <c r="E122" s="25">
        <f>L122-D122</f>
        <v>310.8</v>
      </c>
      <c r="F122" s="93" t="e">
        <f>L122/D122*100</f>
        <v>#DIV/0!</v>
      </c>
      <c r="G122" s="3">
        <f>232.4+80.2+42.8</f>
        <v>355.40000000000003</v>
      </c>
      <c r="H122" s="3">
        <f>ROUND(G122*$T$6,1)</f>
        <v>325.8</v>
      </c>
      <c r="I122" s="216">
        <f>ROUND(G122*$T$7+G122*$T$8,1)</f>
        <v>325.8</v>
      </c>
      <c r="J122" s="3">
        <v>400.6</v>
      </c>
      <c r="K122" s="216">
        <v>400.6</v>
      </c>
      <c r="L122" s="3">
        <v>310.8</v>
      </c>
      <c r="M122" s="3" t="e">
        <f>L122-#REF!</f>
        <v>#REF!</v>
      </c>
      <c r="N122" s="25">
        <f>L122/G122*100</f>
        <v>87.45075970737197</v>
      </c>
      <c r="O122" s="25">
        <f>L122/I122*100</f>
        <v>95.39594843462247</v>
      </c>
      <c r="P122" s="25">
        <f>L122/K122*100</f>
        <v>77.58362456315527</v>
      </c>
      <c r="Q122" s="25">
        <f>L122-I122</f>
        <v>-15</v>
      </c>
      <c r="R122" s="25">
        <f>L122-K122</f>
        <v>-89.80000000000001</v>
      </c>
      <c r="S122" s="88">
        <f t="shared" si="39"/>
        <v>0</v>
      </c>
      <c r="T122" s="89">
        <f t="shared" si="49"/>
        <v>0</v>
      </c>
      <c r="U122" s="89"/>
      <c r="V122" s="89">
        <f t="shared" si="48"/>
        <v>0</v>
      </c>
      <c r="W122" s="248">
        <f t="shared" si="45"/>
        <v>0</v>
      </c>
      <c r="X122" s="89">
        <f t="shared" si="46"/>
        <v>0</v>
      </c>
    </row>
    <row r="123" spans="1:24" s="94" customFormat="1" ht="81.75" customHeight="1">
      <c r="A123" s="37" t="s">
        <v>59</v>
      </c>
      <c r="B123" s="30">
        <v>41035200</v>
      </c>
      <c r="C123" s="3">
        <f>C124</f>
        <v>343.7</v>
      </c>
      <c r="D123" s="3">
        <f>D124</f>
        <v>0</v>
      </c>
      <c r="E123" s="3">
        <f>E124</f>
        <v>0</v>
      </c>
      <c r="F123" s="93" t="e">
        <f t="shared" si="41"/>
        <v>#DIV/0!</v>
      </c>
      <c r="G123" s="3">
        <f aca="true" t="shared" si="63" ref="G123:L123">G124</f>
        <v>0</v>
      </c>
      <c r="H123" s="3">
        <f t="shared" si="63"/>
        <v>0</v>
      </c>
      <c r="I123" s="216">
        <f t="shared" si="63"/>
        <v>0</v>
      </c>
      <c r="J123" s="3">
        <f t="shared" si="63"/>
        <v>0</v>
      </c>
      <c r="K123" s="216">
        <f t="shared" si="63"/>
        <v>0</v>
      </c>
      <c r="L123" s="3">
        <f t="shared" si="63"/>
        <v>0</v>
      </c>
      <c r="M123" s="3" t="e">
        <f>L123-#REF!</f>
        <v>#REF!</v>
      </c>
      <c r="N123" s="111" t="e">
        <f t="shared" si="30"/>
        <v>#DIV/0!</v>
      </c>
      <c r="O123" s="93" t="e">
        <f t="shared" si="31"/>
        <v>#DIV/0!</v>
      </c>
      <c r="P123" s="111" t="e">
        <f t="shared" si="32"/>
        <v>#DIV/0!</v>
      </c>
      <c r="Q123" s="25">
        <f t="shared" si="43"/>
        <v>0</v>
      </c>
      <c r="R123" s="25">
        <f t="shared" si="44"/>
        <v>0</v>
      </c>
      <c r="S123" s="88">
        <f t="shared" si="39"/>
        <v>0</v>
      </c>
      <c r="T123" s="89">
        <f t="shared" si="49"/>
        <v>0</v>
      </c>
      <c r="U123" s="89" t="e">
        <f t="shared" si="47"/>
        <v>#DIV/0!</v>
      </c>
      <c r="V123" s="89" t="e">
        <f t="shared" si="48"/>
        <v>#DIV/0!</v>
      </c>
      <c r="W123" s="248">
        <f t="shared" si="45"/>
        <v>0</v>
      </c>
      <c r="X123" s="89">
        <f t="shared" si="46"/>
        <v>0</v>
      </c>
    </row>
    <row r="124" spans="1:24" s="94" customFormat="1" ht="47.25" customHeight="1">
      <c r="A124" s="35" t="s">
        <v>60</v>
      </c>
      <c r="B124" s="33"/>
      <c r="C124" s="8">
        <v>343.7</v>
      </c>
      <c r="D124" s="3">
        <v>0</v>
      </c>
      <c r="E124" s="25">
        <f>L124-D124</f>
        <v>0</v>
      </c>
      <c r="F124" s="93" t="e">
        <f t="shared" si="41"/>
        <v>#DIV/0!</v>
      </c>
      <c r="G124" s="8"/>
      <c r="H124" s="3">
        <f>ROUND(G124*$T$6,1)</f>
        <v>0</v>
      </c>
      <c r="I124" s="219">
        <f>ROUND(G124*$T$7+G124*$T$8,1)</f>
        <v>0</v>
      </c>
      <c r="J124" s="8"/>
      <c r="K124" s="217"/>
      <c r="L124" s="8"/>
      <c r="M124" s="3" t="e">
        <f>L124-#REF!</f>
        <v>#REF!</v>
      </c>
      <c r="N124" s="93" t="e">
        <f aca="true" t="shared" si="64" ref="N124:N136">L124/G124*100</f>
        <v>#DIV/0!</v>
      </c>
      <c r="O124" s="93" t="e">
        <f aca="true" t="shared" si="65" ref="O124:O136">L124/I124*100</f>
        <v>#DIV/0!</v>
      </c>
      <c r="P124" s="93" t="e">
        <f aca="true" t="shared" si="66" ref="P124:P136">L124/K124*100</f>
        <v>#DIV/0!</v>
      </c>
      <c r="Q124" s="25">
        <f t="shared" si="43"/>
        <v>0</v>
      </c>
      <c r="R124" s="25">
        <f t="shared" si="44"/>
        <v>0</v>
      </c>
      <c r="S124" s="88">
        <f t="shared" si="39"/>
        <v>0</v>
      </c>
      <c r="T124" s="89">
        <f t="shared" si="49"/>
        <v>0</v>
      </c>
      <c r="U124" s="89" t="e">
        <f t="shared" si="47"/>
        <v>#DIV/0!</v>
      </c>
      <c r="V124" s="89" t="e">
        <f t="shared" si="48"/>
        <v>#DIV/0!</v>
      </c>
      <c r="W124" s="248">
        <f t="shared" si="45"/>
        <v>0</v>
      </c>
      <c r="X124" s="89">
        <f t="shared" si="46"/>
        <v>0</v>
      </c>
    </row>
    <row r="125" spans="1:24" s="161" customFormat="1" ht="77.25" customHeight="1">
      <c r="A125" s="38" t="s">
        <v>56</v>
      </c>
      <c r="B125" s="30">
        <v>41035300</v>
      </c>
      <c r="C125" s="3">
        <f>C126+C127</f>
        <v>12665.8</v>
      </c>
      <c r="D125" s="3">
        <f>D126+D127</f>
        <v>10651.4</v>
      </c>
      <c r="E125" s="25">
        <f>L125-D125</f>
        <v>-10651.4</v>
      </c>
      <c r="F125" s="93">
        <f>L125/D125*100</f>
        <v>0</v>
      </c>
      <c r="G125" s="3">
        <f aca="true" t="shared" si="67" ref="G125:L125">G126+G127</f>
        <v>0</v>
      </c>
      <c r="H125" s="3">
        <f t="shared" si="67"/>
        <v>0</v>
      </c>
      <c r="I125" s="216">
        <f t="shared" si="67"/>
        <v>0</v>
      </c>
      <c r="J125" s="3">
        <f t="shared" si="67"/>
        <v>0</v>
      </c>
      <c r="K125" s="216">
        <f>K126+K127</f>
        <v>0</v>
      </c>
      <c r="L125" s="3">
        <f t="shared" si="67"/>
        <v>0</v>
      </c>
      <c r="M125" s="3" t="e">
        <f>L125-#REF!</f>
        <v>#REF!</v>
      </c>
      <c r="N125" s="93" t="e">
        <f t="shared" si="64"/>
        <v>#DIV/0!</v>
      </c>
      <c r="O125" s="93" t="e">
        <f t="shared" si="65"/>
        <v>#DIV/0!</v>
      </c>
      <c r="P125" s="93" t="e">
        <f t="shared" si="66"/>
        <v>#DIV/0!</v>
      </c>
      <c r="Q125" s="25">
        <f t="shared" si="43"/>
        <v>0</v>
      </c>
      <c r="R125" s="25">
        <f t="shared" si="44"/>
        <v>0</v>
      </c>
      <c r="S125" s="88">
        <f t="shared" si="39"/>
        <v>0</v>
      </c>
      <c r="T125" s="89">
        <f t="shared" si="49"/>
        <v>0</v>
      </c>
      <c r="U125" s="89" t="e">
        <f t="shared" si="47"/>
        <v>#DIV/0!</v>
      </c>
      <c r="V125" s="89" t="e">
        <f t="shared" si="48"/>
        <v>#DIV/0!</v>
      </c>
      <c r="W125" s="248">
        <f t="shared" si="45"/>
        <v>0</v>
      </c>
      <c r="X125" s="89">
        <f t="shared" si="46"/>
        <v>0</v>
      </c>
    </row>
    <row r="126" spans="1:24" s="94" customFormat="1" ht="60.75" customHeight="1">
      <c r="A126" s="35" t="s">
        <v>58</v>
      </c>
      <c r="B126" s="33"/>
      <c r="C126" s="8">
        <v>7536.5</v>
      </c>
      <c r="D126" s="3">
        <v>6760</v>
      </c>
      <c r="E126" s="25">
        <f>L126-D126</f>
        <v>-6760</v>
      </c>
      <c r="F126" s="93">
        <f t="shared" si="41"/>
        <v>0</v>
      </c>
      <c r="G126" s="8"/>
      <c r="H126" s="3">
        <f>ROUND(G126*$T$6,1)</f>
        <v>0</v>
      </c>
      <c r="I126" s="219">
        <f>ROUND(G126*$T$7+G126*$T$8,1)</f>
        <v>0</v>
      </c>
      <c r="J126" s="8"/>
      <c r="K126" s="217"/>
      <c r="L126" s="8"/>
      <c r="M126" s="3" t="e">
        <f>L126-#REF!</f>
        <v>#REF!</v>
      </c>
      <c r="N126" s="93" t="e">
        <f t="shared" si="64"/>
        <v>#DIV/0!</v>
      </c>
      <c r="O126" s="93" t="e">
        <f t="shared" si="65"/>
        <v>#DIV/0!</v>
      </c>
      <c r="P126" s="93" t="e">
        <f t="shared" si="66"/>
        <v>#DIV/0!</v>
      </c>
      <c r="Q126" s="25">
        <f t="shared" si="43"/>
        <v>0</v>
      </c>
      <c r="R126" s="25">
        <f t="shared" si="44"/>
        <v>0</v>
      </c>
      <c r="S126" s="88">
        <f t="shared" si="39"/>
        <v>0</v>
      </c>
      <c r="T126" s="89">
        <f t="shared" si="49"/>
        <v>0</v>
      </c>
      <c r="U126" s="89" t="e">
        <f t="shared" si="47"/>
        <v>#DIV/0!</v>
      </c>
      <c r="V126" s="89" t="e">
        <f t="shared" si="48"/>
        <v>#DIV/0!</v>
      </c>
      <c r="W126" s="248">
        <f t="shared" si="45"/>
        <v>0</v>
      </c>
      <c r="X126" s="89">
        <f t="shared" si="46"/>
        <v>0</v>
      </c>
    </row>
    <row r="127" spans="1:24" s="94" customFormat="1" ht="37.5" customHeight="1">
      <c r="A127" s="35" t="s">
        <v>152</v>
      </c>
      <c r="B127" s="33"/>
      <c r="C127" s="8">
        <v>5129.3</v>
      </c>
      <c r="D127" s="3">
        <v>3891.4</v>
      </c>
      <c r="E127" s="25">
        <f>L127-D127</f>
        <v>-3891.4</v>
      </c>
      <c r="F127" s="93">
        <f t="shared" si="41"/>
        <v>0</v>
      </c>
      <c r="G127" s="8"/>
      <c r="H127" s="3">
        <f>ROUND(G127*$T$6,1)</f>
        <v>0</v>
      </c>
      <c r="I127" s="219">
        <f>ROUND(G127*$T$7+G127*$T$8,1)</f>
        <v>0</v>
      </c>
      <c r="J127" s="8"/>
      <c r="K127" s="217"/>
      <c r="L127" s="8"/>
      <c r="M127" s="3" t="e">
        <f>L127-#REF!</f>
        <v>#REF!</v>
      </c>
      <c r="N127" s="93" t="e">
        <f t="shared" si="64"/>
        <v>#DIV/0!</v>
      </c>
      <c r="O127" s="93" t="e">
        <f t="shared" si="65"/>
        <v>#DIV/0!</v>
      </c>
      <c r="P127" s="93" t="e">
        <f t="shared" si="66"/>
        <v>#DIV/0!</v>
      </c>
      <c r="Q127" s="25">
        <f t="shared" si="43"/>
        <v>0</v>
      </c>
      <c r="R127" s="25">
        <f t="shared" si="44"/>
        <v>0</v>
      </c>
      <c r="S127" s="88">
        <f t="shared" si="39"/>
        <v>0</v>
      </c>
      <c r="T127" s="89">
        <f t="shared" si="49"/>
        <v>0</v>
      </c>
      <c r="U127" s="89" t="e">
        <f t="shared" si="47"/>
        <v>#DIV/0!</v>
      </c>
      <c r="V127" s="89" t="e">
        <f t="shared" si="48"/>
        <v>#DIV/0!</v>
      </c>
      <c r="W127" s="248">
        <f t="shared" si="45"/>
        <v>0</v>
      </c>
      <c r="X127" s="89">
        <f t="shared" si="46"/>
        <v>0</v>
      </c>
    </row>
    <row r="128" spans="1:24" s="161" customFormat="1" ht="71.25" customHeight="1">
      <c r="A128" s="38" t="s">
        <v>48</v>
      </c>
      <c r="B128" s="30">
        <v>41035400</v>
      </c>
      <c r="C128" s="3"/>
      <c r="D128" s="3">
        <v>579.34373</v>
      </c>
      <c r="E128" s="25">
        <f>L128-D128</f>
        <v>-579.34373</v>
      </c>
      <c r="F128" s="93">
        <f>L128/D128*100</f>
        <v>0</v>
      </c>
      <c r="G128" s="3">
        <f>533.3+94.3+141.4-87.4</f>
        <v>681.5999999999999</v>
      </c>
      <c r="H128" s="3">
        <f>ROUND(G128*$T$6,1)</f>
        <v>624.8</v>
      </c>
      <c r="I128" s="219">
        <f>ROUND(G128*$T$7+G128*$T$8,1)</f>
        <v>624.8</v>
      </c>
      <c r="J128" s="3">
        <v>687.5</v>
      </c>
      <c r="K128" s="216">
        <v>668.5</v>
      </c>
      <c r="L128" s="3">
        <v>0</v>
      </c>
      <c r="M128" s="3" t="e">
        <f>L128-#REF!</f>
        <v>#REF!</v>
      </c>
      <c r="N128" s="25">
        <f t="shared" si="64"/>
        <v>0</v>
      </c>
      <c r="O128" s="25">
        <f t="shared" si="65"/>
        <v>0</v>
      </c>
      <c r="P128" s="25">
        <f>L128/K128*100</f>
        <v>0</v>
      </c>
      <c r="Q128" s="25">
        <f>L128-I128</f>
        <v>-624.8</v>
      </c>
      <c r="R128" s="25">
        <f>L128-K128</f>
        <v>-668.5</v>
      </c>
      <c r="S128" s="88"/>
      <c r="T128" s="89"/>
      <c r="U128" s="89"/>
      <c r="V128" s="89"/>
      <c r="W128" s="248">
        <f t="shared" si="45"/>
        <v>0</v>
      </c>
      <c r="X128" s="89">
        <f t="shared" si="46"/>
        <v>19</v>
      </c>
    </row>
    <row r="129" spans="1:24" s="91" customFormat="1" ht="219.75" customHeight="1">
      <c r="A129" s="38" t="s">
        <v>47</v>
      </c>
      <c r="B129" s="27">
        <v>41035800</v>
      </c>
      <c r="C129" s="3">
        <v>1420.2</v>
      </c>
      <c r="D129" s="3">
        <v>1786</v>
      </c>
      <c r="E129" s="25">
        <f t="shared" si="62"/>
        <v>-1786</v>
      </c>
      <c r="F129" s="25">
        <f t="shared" si="41"/>
        <v>0</v>
      </c>
      <c r="G129" s="3">
        <f>2415.1-393.7</f>
        <v>2021.3999999999999</v>
      </c>
      <c r="H129" s="3">
        <f>ROUND(G129*$T$6,1)</f>
        <v>1853</v>
      </c>
      <c r="I129" s="219">
        <f>ROUND(G129*$T$7+G129*$T$8,1)</f>
        <v>1853</v>
      </c>
      <c r="J129" s="3">
        <v>1798.2</v>
      </c>
      <c r="K129" s="216">
        <v>1798.2</v>
      </c>
      <c r="L129" s="3">
        <v>0</v>
      </c>
      <c r="M129" s="3" t="e">
        <f>L129-#REF!</f>
        <v>#REF!</v>
      </c>
      <c r="N129" s="25">
        <f t="shared" si="64"/>
        <v>0</v>
      </c>
      <c r="O129" s="25">
        <f t="shared" si="65"/>
        <v>0</v>
      </c>
      <c r="P129" s="25">
        <f t="shared" si="66"/>
        <v>0</v>
      </c>
      <c r="Q129" s="25">
        <f t="shared" si="43"/>
        <v>-1853</v>
      </c>
      <c r="R129" s="25">
        <f t="shared" si="44"/>
        <v>-1798.2</v>
      </c>
      <c r="S129" s="88">
        <f t="shared" si="39"/>
        <v>0</v>
      </c>
      <c r="T129" s="89">
        <f t="shared" si="49"/>
        <v>0</v>
      </c>
      <c r="U129" s="89">
        <f t="shared" si="47"/>
        <v>0</v>
      </c>
      <c r="V129" s="89">
        <f t="shared" si="48"/>
        <v>0</v>
      </c>
      <c r="W129" s="248">
        <f t="shared" si="45"/>
        <v>0</v>
      </c>
      <c r="X129" s="89">
        <f t="shared" si="46"/>
        <v>0</v>
      </c>
    </row>
    <row r="130" spans="1:24" s="91" customFormat="1" ht="154.5" customHeight="1">
      <c r="A130" s="39" t="s">
        <v>291</v>
      </c>
      <c r="B130" s="40">
        <v>41036100</v>
      </c>
      <c r="C130" s="22">
        <v>3238.3</v>
      </c>
      <c r="D130" s="7">
        <v>0</v>
      </c>
      <c r="E130" s="25">
        <f t="shared" si="62"/>
        <v>0</v>
      </c>
      <c r="F130" s="93" t="e">
        <f t="shared" si="41"/>
        <v>#DIV/0!</v>
      </c>
      <c r="G130" s="22"/>
      <c r="H130" s="22">
        <f>ROUND(G130*$T$6,1)</f>
        <v>0</v>
      </c>
      <c r="I130" s="216">
        <f>ROUND(G130*$T$7+G130*$T$8,1)</f>
        <v>0</v>
      </c>
      <c r="J130" s="3"/>
      <c r="K130" s="216"/>
      <c r="L130" s="3"/>
      <c r="M130" s="3" t="e">
        <f>L130-#REF!</f>
        <v>#REF!</v>
      </c>
      <c r="N130" s="14" t="e">
        <f t="shared" si="64"/>
        <v>#DIV/0!</v>
      </c>
      <c r="O130" s="93" t="e">
        <f>L130/I130*100</f>
        <v>#DIV/0!</v>
      </c>
      <c r="P130" s="93" t="e">
        <f>L130/K130*100</f>
        <v>#DIV/0!</v>
      </c>
      <c r="Q130" s="25">
        <f t="shared" si="43"/>
        <v>0</v>
      </c>
      <c r="R130" s="25">
        <f t="shared" si="44"/>
        <v>0</v>
      </c>
      <c r="S130" s="88">
        <f t="shared" si="39"/>
        <v>0</v>
      </c>
      <c r="T130" s="89">
        <f t="shared" si="49"/>
        <v>0</v>
      </c>
      <c r="U130" s="89" t="e">
        <f t="shared" si="47"/>
        <v>#DIV/0!</v>
      </c>
      <c r="V130" s="89" t="e">
        <f t="shared" si="48"/>
        <v>#DIV/0!</v>
      </c>
      <c r="W130" s="248">
        <f t="shared" si="45"/>
        <v>0</v>
      </c>
      <c r="X130" s="89">
        <f t="shared" si="46"/>
        <v>0</v>
      </c>
    </row>
    <row r="131" spans="1:24" s="91" customFormat="1" ht="318.75" customHeight="1" hidden="1">
      <c r="A131" s="39" t="s">
        <v>162</v>
      </c>
      <c r="B131" s="40">
        <v>41036600</v>
      </c>
      <c r="C131" s="22"/>
      <c r="D131" s="7"/>
      <c r="E131" s="14" t="e">
        <v>#DIV/0!</v>
      </c>
      <c r="F131" s="14" t="e">
        <f t="shared" si="41"/>
        <v>#DIV/0!</v>
      </c>
      <c r="G131" s="22"/>
      <c r="H131" s="22">
        <f>G131/12*10</f>
        <v>0</v>
      </c>
      <c r="I131" s="216">
        <f>G131/12*8+G131/12*22/22</f>
        <v>0</v>
      </c>
      <c r="J131" s="3"/>
      <c r="K131" s="216"/>
      <c r="L131" s="3"/>
      <c r="M131" s="3"/>
      <c r="N131" s="14" t="e">
        <f t="shared" si="64"/>
        <v>#DIV/0!</v>
      </c>
      <c r="O131" s="14" t="e">
        <f t="shared" si="65"/>
        <v>#DIV/0!</v>
      </c>
      <c r="P131" s="14" t="e">
        <f t="shared" si="66"/>
        <v>#DIV/0!</v>
      </c>
      <c r="Q131" s="25">
        <f t="shared" si="43"/>
        <v>0</v>
      </c>
      <c r="R131" s="25">
        <f t="shared" si="44"/>
        <v>0</v>
      </c>
      <c r="S131" s="88">
        <f t="shared" si="39"/>
        <v>0</v>
      </c>
      <c r="T131" s="89">
        <f t="shared" si="49"/>
        <v>0</v>
      </c>
      <c r="U131" s="89" t="e">
        <f t="shared" si="47"/>
        <v>#DIV/0!</v>
      </c>
      <c r="V131" s="89" t="e">
        <f t="shared" si="48"/>
        <v>#DIV/0!</v>
      </c>
      <c r="W131" s="248">
        <f t="shared" si="45"/>
        <v>0</v>
      </c>
      <c r="X131" s="89">
        <f t="shared" si="46"/>
        <v>0</v>
      </c>
    </row>
    <row r="132" spans="1:24" s="91" customFormat="1" ht="67.5" customHeight="1" hidden="1">
      <c r="A132" s="26" t="s">
        <v>301</v>
      </c>
      <c r="B132" s="27">
        <v>41037000</v>
      </c>
      <c r="C132" s="3"/>
      <c r="D132" s="3"/>
      <c r="E132" s="25">
        <f>L132-D132</f>
        <v>0</v>
      </c>
      <c r="F132" s="14" t="e">
        <f t="shared" si="41"/>
        <v>#DIV/0!</v>
      </c>
      <c r="G132" s="3"/>
      <c r="H132" s="3">
        <f>G132/12*9</f>
        <v>0</v>
      </c>
      <c r="I132" s="216">
        <f>G132/12*8+G132/12*11/22</f>
        <v>0</v>
      </c>
      <c r="J132" s="3"/>
      <c r="K132" s="216"/>
      <c r="L132" s="3"/>
      <c r="M132" s="3"/>
      <c r="N132" s="14" t="e">
        <f t="shared" si="64"/>
        <v>#DIV/0!</v>
      </c>
      <c r="O132" s="14" t="e">
        <f t="shared" si="65"/>
        <v>#DIV/0!</v>
      </c>
      <c r="P132" s="14" t="e">
        <f t="shared" si="66"/>
        <v>#DIV/0!</v>
      </c>
      <c r="Q132" s="25">
        <f t="shared" si="43"/>
        <v>0</v>
      </c>
      <c r="R132" s="25">
        <f t="shared" si="44"/>
        <v>0</v>
      </c>
      <c r="S132" s="88">
        <f t="shared" si="39"/>
        <v>0</v>
      </c>
      <c r="T132" s="89">
        <f t="shared" si="49"/>
        <v>0</v>
      </c>
      <c r="U132" s="89" t="e">
        <f t="shared" si="47"/>
        <v>#DIV/0!</v>
      </c>
      <c r="V132" s="89" t="e">
        <f t="shared" si="48"/>
        <v>#DIV/0!</v>
      </c>
      <c r="W132" s="248">
        <f t="shared" si="45"/>
        <v>0</v>
      </c>
      <c r="X132" s="89">
        <f t="shared" si="46"/>
        <v>0</v>
      </c>
    </row>
    <row r="133" spans="1:24" s="92" customFormat="1" ht="42.75" customHeight="1" hidden="1">
      <c r="A133" s="26" t="s">
        <v>111</v>
      </c>
      <c r="B133" s="27">
        <v>41036300</v>
      </c>
      <c r="C133" s="3"/>
      <c r="D133" s="3"/>
      <c r="E133" s="25">
        <f>L133-D133</f>
        <v>0</v>
      </c>
      <c r="F133" s="14" t="e">
        <f t="shared" si="41"/>
        <v>#DIV/0!</v>
      </c>
      <c r="G133" s="3"/>
      <c r="H133" s="3">
        <f>G133/12*9</f>
        <v>0</v>
      </c>
      <c r="I133" s="216">
        <f>G133/12*8+G133/12*11/22</f>
        <v>0</v>
      </c>
      <c r="J133" s="3"/>
      <c r="K133" s="216"/>
      <c r="L133" s="3"/>
      <c r="M133" s="3"/>
      <c r="N133" s="25" t="e">
        <f t="shared" si="64"/>
        <v>#DIV/0!</v>
      </c>
      <c r="O133" s="6" t="e">
        <f t="shared" si="65"/>
        <v>#DIV/0!</v>
      </c>
      <c r="P133" s="25" t="e">
        <f t="shared" si="66"/>
        <v>#DIV/0!</v>
      </c>
      <c r="Q133" s="25">
        <f t="shared" si="43"/>
        <v>0</v>
      </c>
      <c r="R133" s="25">
        <f t="shared" si="44"/>
        <v>0</v>
      </c>
      <c r="S133" s="88">
        <f t="shared" si="39"/>
        <v>0</v>
      </c>
      <c r="T133" s="89">
        <f t="shared" si="49"/>
        <v>0</v>
      </c>
      <c r="U133" s="89" t="e">
        <f t="shared" si="47"/>
        <v>#DIV/0!</v>
      </c>
      <c r="V133" s="89" t="e">
        <f t="shared" si="48"/>
        <v>#DIV/0!</v>
      </c>
      <c r="W133" s="248">
        <f t="shared" si="45"/>
        <v>0</v>
      </c>
      <c r="X133" s="89">
        <f t="shared" si="46"/>
        <v>0</v>
      </c>
    </row>
    <row r="134" spans="1:24" s="92" customFormat="1" ht="325.5" customHeight="1">
      <c r="A134" s="41" t="s">
        <v>162</v>
      </c>
      <c r="B134" s="42">
        <v>41036600</v>
      </c>
      <c r="C134" s="3"/>
      <c r="D134" s="3"/>
      <c r="E134" s="25">
        <f>L134-D134</f>
        <v>0</v>
      </c>
      <c r="F134" s="228" t="e">
        <f t="shared" si="41"/>
        <v>#DIV/0!</v>
      </c>
      <c r="G134" s="3">
        <f>23863.4-1097.8-0.1-214.7-238</f>
        <v>22312.800000000003</v>
      </c>
      <c r="H134" s="3">
        <f>ROUND(G134*$T$6,1)</f>
        <v>20453.4</v>
      </c>
      <c r="I134" s="216">
        <f>ROUND(G134*$T$7+G134*$T$8,1)</f>
        <v>20453.4</v>
      </c>
      <c r="J134" s="3">
        <v>22312.800000000003</v>
      </c>
      <c r="K134" s="216">
        <v>22312.800000000003</v>
      </c>
      <c r="L134" s="3"/>
      <c r="M134" s="3">
        <f>L134</f>
        <v>0</v>
      </c>
      <c r="N134" s="14">
        <f>L134/G134*100</f>
        <v>0</v>
      </c>
      <c r="O134" s="14">
        <f>L134/I134*100</f>
        <v>0</v>
      </c>
      <c r="P134" s="14">
        <f>L134/K134*100</f>
        <v>0</v>
      </c>
      <c r="Q134" s="25">
        <f>L134-I134</f>
        <v>-20453.4</v>
      </c>
      <c r="R134" s="25">
        <f>L134-K134</f>
        <v>-22312.800000000003</v>
      </c>
      <c r="S134" s="88">
        <f t="shared" si="39"/>
        <v>0</v>
      </c>
      <c r="T134" s="89">
        <f t="shared" si="49"/>
        <v>0</v>
      </c>
      <c r="U134" s="89">
        <f t="shared" si="47"/>
        <v>0</v>
      </c>
      <c r="V134" s="89">
        <f t="shared" si="48"/>
        <v>0</v>
      </c>
      <c r="W134" s="248">
        <f t="shared" si="45"/>
        <v>0</v>
      </c>
      <c r="X134" s="89">
        <f t="shared" si="46"/>
        <v>0</v>
      </c>
    </row>
    <row r="135" spans="1:24" s="92" customFormat="1" ht="109.5" customHeight="1" hidden="1">
      <c r="A135" s="29" t="s">
        <v>154</v>
      </c>
      <c r="B135" s="30">
        <v>41039700</v>
      </c>
      <c r="C135" s="3"/>
      <c r="D135" s="3"/>
      <c r="E135" s="25">
        <f>L135-D135</f>
        <v>0</v>
      </c>
      <c r="F135" s="14" t="e">
        <f t="shared" si="41"/>
        <v>#DIV/0!</v>
      </c>
      <c r="G135" s="3"/>
      <c r="H135" s="3">
        <f>G135/12*9</f>
        <v>0</v>
      </c>
      <c r="I135" s="216">
        <f>G135/12*8+G135/12*11/22</f>
        <v>0</v>
      </c>
      <c r="J135" s="3"/>
      <c r="K135" s="216"/>
      <c r="L135" s="3"/>
      <c r="M135" s="3"/>
      <c r="N135" s="14" t="e">
        <f t="shared" si="64"/>
        <v>#DIV/0!</v>
      </c>
      <c r="O135" s="14" t="e">
        <f t="shared" si="65"/>
        <v>#DIV/0!</v>
      </c>
      <c r="P135" s="14" t="e">
        <f t="shared" si="66"/>
        <v>#DIV/0!</v>
      </c>
      <c r="Q135" s="25">
        <f t="shared" si="43"/>
        <v>0</v>
      </c>
      <c r="R135" s="25">
        <f t="shared" si="44"/>
        <v>0</v>
      </c>
      <c r="S135" s="88">
        <f t="shared" si="39"/>
        <v>0</v>
      </c>
      <c r="T135" s="89">
        <f t="shared" si="49"/>
        <v>0</v>
      </c>
      <c r="U135" s="89" t="e">
        <f t="shared" si="47"/>
        <v>#DIV/0!</v>
      </c>
      <c r="V135" s="89" t="e">
        <f t="shared" si="48"/>
        <v>#DIV/0!</v>
      </c>
      <c r="W135" s="248">
        <f t="shared" si="45"/>
        <v>0</v>
      </c>
      <c r="X135" s="89">
        <f t="shared" si="46"/>
        <v>0</v>
      </c>
    </row>
    <row r="136" spans="1:24" s="224" customFormat="1" ht="25.5" customHeight="1">
      <c r="A136" s="249" t="s">
        <v>236</v>
      </c>
      <c r="B136" s="204"/>
      <c r="C136" s="205">
        <f>C66+C67</f>
        <v>2283243.4</v>
      </c>
      <c r="D136" s="205">
        <f>D66+D67</f>
        <v>2701749.2759</v>
      </c>
      <c r="E136" s="250">
        <f>L136-D136</f>
        <v>-778587.6759000001</v>
      </c>
      <c r="F136" s="250">
        <f t="shared" si="41"/>
        <v>71.18208995760205</v>
      </c>
      <c r="G136" s="250">
        <f aca="true" t="shared" si="68" ref="G136:M136">G66+G67</f>
        <v>2738020.55</v>
      </c>
      <c r="H136" s="218">
        <f t="shared" si="68"/>
        <v>2509852.2</v>
      </c>
      <c r="I136" s="218">
        <f t="shared" si="68"/>
        <v>2509852.2</v>
      </c>
      <c r="J136" s="218">
        <f t="shared" si="68"/>
        <v>2186454.3000000003</v>
      </c>
      <c r="K136" s="218">
        <f t="shared" si="68"/>
        <v>2082196.6</v>
      </c>
      <c r="L136" s="218">
        <f t="shared" si="68"/>
        <v>1923161.5999999996</v>
      </c>
      <c r="M136" s="218" t="e">
        <f t="shared" si="68"/>
        <v>#REF!</v>
      </c>
      <c r="N136" s="218">
        <f t="shared" si="64"/>
        <v>70.2391222008907</v>
      </c>
      <c r="O136" s="250">
        <f t="shared" si="65"/>
        <v>76.62449605598289</v>
      </c>
      <c r="P136" s="218">
        <f t="shared" si="66"/>
        <v>92.36215254601797</v>
      </c>
      <c r="Q136" s="250">
        <f t="shared" si="43"/>
        <v>-586690.6000000006</v>
      </c>
      <c r="R136" s="218">
        <f t="shared" si="44"/>
        <v>-159035.00000000047</v>
      </c>
      <c r="S136" s="116">
        <f t="shared" si="39"/>
        <v>0</v>
      </c>
      <c r="T136" s="117">
        <f t="shared" si="49"/>
        <v>0</v>
      </c>
      <c r="U136" s="117">
        <f t="shared" si="47"/>
        <v>0</v>
      </c>
      <c r="V136" s="117">
        <f t="shared" si="48"/>
        <v>0</v>
      </c>
      <c r="W136" s="251">
        <f t="shared" si="45"/>
        <v>0</v>
      </c>
      <c r="X136" s="117">
        <f t="shared" si="46"/>
        <v>104257.70000000019</v>
      </c>
    </row>
    <row r="137" spans="1:24" s="92" customFormat="1" ht="21.75" customHeight="1">
      <c r="A137" s="813" t="s">
        <v>237</v>
      </c>
      <c r="B137" s="814"/>
      <c r="C137" s="814"/>
      <c r="D137" s="814"/>
      <c r="E137" s="814"/>
      <c r="F137" s="814"/>
      <c r="G137" s="814"/>
      <c r="H137" s="814"/>
      <c r="I137" s="814"/>
      <c r="J137" s="814"/>
      <c r="K137" s="814"/>
      <c r="L137" s="814"/>
      <c r="M137" s="814"/>
      <c r="N137" s="814"/>
      <c r="O137" s="814"/>
      <c r="P137" s="814"/>
      <c r="Q137" s="814"/>
      <c r="R137" s="815"/>
      <c r="S137" s="88">
        <f t="shared" si="39"/>
        <v>0</v>
      </c>
      <c r="T137" s="89">
        <f t="shared" si="49"/>
        <v>0</v>
      </c>
      <c r="U137" s="89" t="e">
        <f t="shared" si="47"/>
        <v>#DIV/0!</v>
      </c>
      <c r="V137" s="89" t="e">
        <f t="shared" si="48"/>
        <v>#DIV/0!</v>
      </c>
      <c r="W137" s="248">
        <f t="shared" si="45"/>
        <v>0</v>
      </c>
      <c r="X137" s="89">
        <f t="shared" si="46"/>
        <v>0</v>
      </c>
    </row>
    <row r="138" spans="1:24" s="150" customFormat="1" ht="23.25" customHeight="1">
      <c r="A138" s="46" t="s">
        <v>66</v>
      </c>
      <c r="B138" s="47">
        <v>10000000</v>
      </c>
      <c r="C138" s="10">
        <f>C139+C142+C147</f>
        <v>3100.7000000000003</v>
      </c>
      <c r="D138" s="10">
        <f>D139+D142+D147</f>
        <v>2768353.7</v>
      </c>
      <c r="E138" s="6">
        <f aca="true" t="shared" si="69" ref="E138:E180">L138-D138</f>
        <v>437863.6999999997</v>
      </c>
      <c r="F138" s="6">
        <f aca="true" t="shared" si="70" ref="F138:F180">L138/D138*100</f>
        <v>115.81675419582402</v>
      </c>
      <c r="G138" s="10">
        <f aca="true" t="shared" si="71" ref="G138:M138">G139+G142+G147</f>
        <v>3451.1</v>
      </c>
      <c r="H138" s="10">
        <f t="shared" si="71"/>
        <v>3163.5</v>
      </c>
      <c r="I138" s="209">
        <f t="shared" si="71"/>
        <v>3163.5</v>
      </c>
      <c r="J138" s="10">
        <f t="shared" si="71"/>
        <v>1973.7</v>
      </c>
      <c r="K138" s="209">
        <f>K139+K142+K147</f>
        <v>1973.6</v>
      </c>
      <c r="L138" s="10">
        <f t="shared" si="71"/>
        <v>3206217.4</v>
      </c>
      <c r="M138" s="10" t="e">
        <f t="shared" si="71"/>
        <v>#REF!</v>
      </c>
      <c r="N138" s="10">
        <f aca="true" t="shared" si="72" ref="N138:N180">L138/G138*100</f>
        <v>92904.21604705746</v>
      </c>
      <c r="O138" s="6">
        <f aca="true" t="shared" si="73" ref="O138:O180">L138/I138*100</f>
        <v>101350.32084716295</v>
      </c>
      <c r="P138" s="10">
        <f aca="true" t="shared" si="74" ref="P138:P180">L138/K138*100</f>
        <v>162455.2796919335</v>
      </c>
      <c r="Q138" s="6">
        <f aca="true" t="shared" si="75" ref="Q138:Q178">L138-I138</f>
        <v>3203053.9</v>
      </c>
      <c r="R138" s="10">
        <f aca="true" t="shared" si="76" ref="R138:R180">L138-K138</f>
        <v>3204243.8</v>
      </c>
      <c r="S138" s="88">
        <f t="shared" si="39"/>
        <v>0</v>
      </c>
      <c r="T138" s="89">
        <f t="shared" si="49"/>
        <v>0</v>
      </c>
      <c r="U138" s="89">
        <f t="shared" si="47"/>
        <v>0</v>
      </c>
      <c r="V138" s="89">
        <f t="shared" si="48"/>
        <v>0</v>
      </c>
      <c r="W138" s="248">
        <f aca="true" t="shared" si="77" ref="W138:W181">H138-I138</f>
        <v>0</v>
      </c>
      <c r="X138" s="89">
        <f aca="true" t="shared" si="78" ref="X138:X181">J138-K138</f>
        <v>0.10000000000013642</v>
      </c>
    </row>
    <row r="139" spans="1:24" s="150" customFormat="1" ht="21.75" customHeight="1">
      <c r="A139" s="48" t="s">
        <v>265</v>
      </c>
      <c r="B139" s="47">
        <v>12000000</v>
      </c>
      <c r="C139" s="10">
        <f>C140+C141</f>
        <v>10.2</v>
      </c>
      <c r="D139" s="10">
        <f>D140+D141</f>
        <v>2768350.1</v>
      </c>
      <c r="E139" s="6">
        <f t="shared" si="69"/>
        <v>437867.3999999999</v>
      </c>
      <c r="F139" s="6">
        <f t="shared" si="70"/>
        <v>115.81690841776118</v>
      </c>
      <c r="G139" s="10">
        <f>G140+G141</f>
        <v>0</v>
      </c>
      <c r="H139" s="10">
        <f>H140+H141</f>
        <v>0</v>
      </c>
      <c r="I139" s="209"/>
      <c r="J139" s="10">
        <f>J140+J141</f>
        <v>0</v>
      </c>
      <c r="K139" s="209">
        <f>K140+K141</f>
        <v>0</v>
      </c>
      <c r="L139" s="10">
        <f>L140+L141</f>
        <v>3206217.5</v>
      </c>
      <c r="M139" s="10" t="e">
        <f>M140+M141</f>
        <v>#REF!</v>
      </c>
      <c r="N139" s="49" t="e">
        <f t="shared" si="72"/>
        <v>#DIV/0!</v>
      </c>
      <c r="O139" s="50" t="e">
        <f t="shared" si="73"/>
        <v>#DIV/0!</v>
      </c>
      <c r="P139" s="49" t="e">
        <f t="shared" si="74"/>
        <v>#DIV/0!</v>
      </c>
      <c r="Q139" s="6">
        <f t="shared" si="75"/>
        <v>3206217.5</v>
      </c>
      <c r="R139" s="10">
        <f t="shared" si="76"/>
        <v>3206217.5</v>
      </c>
      <c r="S139" s="88">
        <f t="shared" si="39"/>
        <v>0</v>
      </c>
      <c r="T139" s="89">
        <f t="shared" si="49"/>
        <v>0</v>
      </c>
      <c r="U139" s="89" t="e">
        <f t="shared" si="47"/>
        <v>#DIV/0!</v>
      </c>
      <c r="V139" s="89" t="e">
        <f t="shared" si="48"/>
        <v>#DIV/0!</v>
      </c>
      <c r="W139" s="248">
        <f t="shared" si="77"/>
        <v>0</v>
      </c>
      <c r="X139" s="89">
        <f t="shared" si="78"/>
        <v>0</v>
      </c>
    </row>
    <row r="140" spans="1:24" s="92" customFormat="1" ht="48.75" customHeight="1">
      <c r="A140" s="51" t="s">
        <v>238</v>
      </c>
      <c r="B140" s="27">
        <v>12020000</v>
      </c>
      <c r="C140" s="7">
        <v>10.2</v>
      </c>
      <c r="D140" s="7">
        <v>2768350.1</v>
      </c>
      <c r="E140" s="25">
        <f t="shared" si="69"/>
        <v>437867.3999999999</v>
      </c>
      <c r="F140" s="25">
        <f t="shared" si="70"/>
        <v>115.81690841776118</v>
      </c>
      <c r="G140" s="7"/>
      <c r="H140" s="7">
        <f>G140*$T$6</f>
        <v>0</v>
      </c>
      <c r="I140" s="219"/>
      <c r="J140" s="7"/>
      <c r="K140" s="219"/>
      <c r="L140" s="7">
        <v>3206217.5</v>
      </c>
      <c r="M140" s="3" t="e">
        <f>L140-#REF!</f>
        <v>#REF!</v>
      </c>
      <c r="N140" s="52" t="e">
        <f t="shared" si="72"/>
        <v>#DIV/0!</v>
      </c>
      <c r="O140" s="50" t="e">
        <f t="shared" si="73"/>
        <v>#DIV/0!</v>
      </c>
      <c r="P140" s="52" t="e">
        <f t="shared" si="74"/>
        <v>#DIV/0!</v>
      </c>
      <c r="Q140" s="25">
        <f t="shared" si="75"/>
        <v>3206217.5</v>
      </c>
      <c r="R140" s="7">
        <f t="shared" si="76"/>
        <v>3206217.5</v>
      </c>
      <c r="S140" s="88">
        <f aca="true" t="shared" si="79" ref="S140:S181">L140-I140-Q140</f>
        <v>0</v>
      </c>
      <c r="T140" s="89">
        <f t="shared" si="49"/>
        <v>0</v>
      </c>
      <c r="U140" s="89" t="e">
        <f t="shared" si="47"/>
        <v>#DIV/0!</v>
      </c>
      <c r="V140" s="89" t="e">
        <f t="shared" si="48"/>
        <v>#DIV/0!</v>
      </c>
      <c r="W140" s="248">
        <f t="shared" si="77"/>
        <v>0</v>
      </c>
      <c r="X140" s="89">
        <f t="shared" si="78"/>
        <v>0</v>
      </c>
    </row>
    <row r="141" spans="1:24" s="147" customFormat="1" ht="30.75" customHeight="1" hidden="1">
      <c r="A141" s="53" t="s">
        <v>239</v>
      </c>
      <c r="B141" s="43" t="s">
        <v>240</v>
      </c>
      <c r="C141" s="10"/>
      <c r="D141" s="10"/>
      <c r="E141" s="6">
        <f t="shared" si="69"/>
        <v>0</v>
      </c>
      <c r="F141" s="50" t="e">
        <f t="shared" si="70"/>
        <v>#DIV/0!</v>
      </c>
      <c r="G141" s="10"/>
      <c r="H141" s="10">
        <f>G141/12*2</f>
        <v>0</v>
      </c>
      <c r="I141" s="209">
        <f>G141/12*2+G141/12*6/22</f>
        <v>0</v>
      </c>
      <c r="J141" s="10"/>
      <c r="K141" s="209"/>
      <c r="L141" s="10"/>
      <c r="M141" s="3"/>
      <c r="N141" s="54" t="e">
        <f t="shared" si="72"/>
        <v>#DIV/0!</v>
      </c>
      <c r="O141" s="50" t="e">
        <f t="shared" si="73"/>
        <v>#DIV/0!</v>
      </c>
      <c r="P141" s="54" t="e">
        <f t="shared" si="74"/>
        <v>#DIV/0!</v>
      </c>
      <c r="Q141" s="6">
        <f t="shared" si="75"/>
        <v>0</v>
      </c>
      <c r="R141" s="10">
        <f t="shared" si="76"/>
        <v>0</v>
      </c>
      <c r="S141" s="88">
        <f t="shared" si="79"/>
        <v>0</v>
      </c>
      <c r="T141" s="89">
        <f t="shared" si="49"/>
        <v>0</v>
      </c>
      <c r="U141" s="89" t="e">
        <f t="shared" si="47"/>
        <v>#DIV/0!</v>
      </c>
      <c r="V141" s="89" t="e">
        <f t="shared" si="48"/>
        <v>#DIV/0!</v>
      </c>
      <c r="W141" s="248">
        <f t="shared" si="77"/>
        <v>0</v>
      </c>
      <c r="X141" s="89">
        <f t="shared" si="78"/>
        <v>0</v>
      </c>
    </row>
    <row r="142" spans="1:24" s="150" customFormat="1" ht="19.5" customHeight="1">
      <c r="A142" s="48" t="s">
        <v>73</v>
      </c>
      <c r="B142" s="55">
        <v>18000000</v>
      </c>
      <c r="C142" s="10">
        <f>C144+C146+C143</f>
        <v>-3.8</v>
      </c>
      <c r="D142" s="10">
        <f>D144+D146+D143</f>
        <v>3.6</v>
      </c>
      <c r="E142" s="6">
        <f t="shared" si="69"/>
        <v>-3.6</v>
      </c>
      <c r="F142" s="110">
        <f t="shared" si="70"/>
        <v>0</v>
      </c>
      <c r="G142" s="10">
        <f>G144+G146+G143</f>
        <v>0</v>
      </c>
      <c r="H142" s="10">
        <f>H144+H146+H143</f>
        <v>0</v>
      </c>
      <c r="I142" s="209"/>
      <c r="J142" s="10">
        <f>J144+J146+J143</f>
        <v>0</v>
      </c>
      <c r="K142" s="209">
        <f>K144+K146+K143</f>
        <v>0</v>
      </c>
      <c r="L142" s="10">
        <f>L144+L146+L143</f>
        <v>0</v>
      </c>
      <c r="M142" s="10" t="e">
        <f>M144+M146+M143</f>
        <v>#REF!</v>
      </c>
      <c r="N142" s="49" t="e">
        <f t="shared" si="72"/>
        <v>#DIV/0!</v>
      </c>
      <c r="O142" s="50" t="e">
        <f t="shared" si="73"/>
        <v>#DIV/0!</v>
      </c>
      <c r="P142" s="49" t="e">
        <f t="shared" si="74"/>
        <v>#DIV/0!</v>
      </c>
      <c r="Q142" s="6">
        <f t="shared" si="75"/>
        <v>0</v>
      </c>
      <c r="R142" s="10">
        <f t="shared" si="76"/>
        <v>0</v>
      </c>
      <c r="S142" s="88">
        <f t="shared" si="79"/>
        <v>0</v>
      </c>
      <c r="T142" s="89">
        <f t="shared" si="49"/>
        <v>0</v>
      </c>
      <c r="U142" s="89" t="e">
        <f t="shared" si="47"/>
        <v>#DIV/0!</v>
      </c>
      <c r="V142" s="89" t="e">
        <f t="shared" si="48"/>
        <v>#DIV/0!</v>
      </c>
      <c r="W142" s="248">
        <f t="shared" si="77"/>
        <v>0</v>
      </c>
      <c r="X142" s="89">
        <f t="shared" si="78"/>
        <v>0</v>
      </c>
    </row>
    <row r="143" spans="1:24" s="152" customFormat="1" ht="42.75" customHeight="1" hidden="1">
      <c r="A143" s="56" t="s">
        <v>241</v>
      </c>
      <c r="B143" s="30" t="s">
        <v>242</v>
      </c>
      <c r="C143" s="7"/>
      <c r="D143" s="7"/>
      <c r="E143" s="25">
        <f t="shared" si="69"/>
        <v>0</v>
      </c>
      <c r="F143" s="14" t="e">
        <f t="shared" si="70"/>
        <v>#DIV/0!</v>
      </c>
      <c r="G143" s="7"/>
      <c r="H143" s="7">
        <f>G143/12*11</f>
        <v>0</v>
      </c>
      <c r="I143" s="219">
        <f>G143/12*2+G143/12*17/22</f>
        <v>0</v>
      </c>
      <c r="J143" s="7"/>
      <c r="K143" s="219"/>
      <c r="L143" s="7"/>
      <c r="M143" s="3"/>
      <c r="N143" s="57" t="e">
        <f t="shared" si="72"/>
        <v>#DIV/0!</v>
      </c>
      <c r="O143" s="14" t="e">
        <f t="shared" si="73"/>
        <v>#DIV/0!</v>
      </c>
      <c r="P143" s="57" t="e">
        <f t="shared" si="74"/>
        <v>#DIV/0!</v>
      </c>
      <c r="Q143" s="25">
        <f t="shared" si="75"/>
        <v>0</v>
      </c>
      <c r="R143" s="25">
        <f t="shared" si="76"/>
        <v>0</v>
      </c>
      <c r="S143" s="88">
        <f t="shared" si="79"/>
        <v>0</v>
      </c>
      <c r="T143" s="89">
        <f t="shared" si="49"/>
        <v>0</v>
      </c>
      <c r="U143" s="89" t="e">
        <f t="shared" si="47"/>
        <v>#DIV/0!</v>
      </c>
      <c r="V143" s="89" t="e">
        <f t="shared" si="48"/>
        <v>#DIV/0!</v>
      </c>
      <c r="W143" s="248">
        <f t="shared" si="77"/>
        <v>0</v>
      </c>
      <c r="X143" s="89">
        <f t="shared" si="78"/>
        <v>0</v>
      </c>
    </row>
    <row r="144" spans="1:24" s="92" customFormat="1" ht="47.25" customHeight="1">
      <c r="A144" s="58" t="s">
        <v>128</v>
      </c>
      <c r="B144" s="27" t="s">
        <v>75</v>
      </c>
      <c r="C144" s="7">
        <f>C145</f>
        <v>-3.8</v>
      </c>
      <c r="D144" s="7">
        <f>D145</f>
        <v>3.6</v>
      </c>
      <c r="E144" s="25">
        <f t="shared" si="69"/>
        <v>-3.6</v>
      </c>
      <c r="F144" s="93">
        <f t="shared" si="70"/>
        <v>0</v>
      </c>
      <c r="G144" s="7">
        <f>G145</f>
        <v>0</v>
      </c>
      <c r="H144" s="7">
        <f>H145</f>
        <v>0</v>
      </c>
      <c r="I144" s="219"/>
      <c r="J144" s="7">
        <f>J145</f>
        <v>0</v>
      </c>
      <c r="K144" s="219">
        <f>K145</f>
        <v>0</v>
      </c>
      <c r="L144" s="7">
        <f>L145</f>
        <v>0</v>
      </c>
      <c r="M144" s="7" t="e">
        <f>L144-#REF!</f>
        <v>#REF!</v>
      </c>
      <c r="N144" s="57" t="e">
        <f t="shared" si="72"/>
        <v>#DIV/0!</v>
      </c>
      <c r="O144" s="14" t="e">
        <f t="shared" si="73"/>
        <v>#DIV/0!</v>
      </c>
      <c r="P144" s="57" t="e">
        <f t="shared" si="74"/>
        <v>#DIV/0!</v>
      </c>
      <c r="Q144" s="25">
        <f t="shared" si="75"/>
        <v>0</v>
      </c>
      <c r="R144" s="7">
        <f t="shared" si="76"/>
        <v>0</v>
      </c>
      <c r="S144" s="88">
        <f t="shared" si="79"/>
        <v>0</v>
      </c>
      <c r="T144" s="89">
        <f t="shared" si="49"/>
        <v>0</v>
      </c>
      <c r="U144" s="89" t="e">
        <f t="shared" si="47"/>
        <v>#DIV/0!</v>
      </c>
      <c r="V144" s="89" t="e">
        <f t="shared" si="48"/>
        <v>#DIV/0!</v>
      </c>
      <c r="W144" s="248">
        <f t="shared" si="77"/>
        <v>0</v>
      </c>
      <c r="X144" s="89">
        <f t="shared" si="78"/>
        <v>0</v>
      </c>
    </row>
    <row r="145" spans="1:24" s="145" customFormat="1" ht="111" customHeight="1">
      <c r="A145" s="59" t="s">
        <v>299</v>
      </c>
      <c r="B145" s="33" t="s">
        <v>243</v>
      </c>
      <c r="C145" s="22">
        <f>-3.8</f>
        <v>-3.8</v>
      </c>
      <c r="D145" s="22">
        <v>3.6</v>
      </c>
      <c r="E145" s="25">
        <f t="shared" si="69"/>
        <v>-3.6</v>
      </c>
      <c r="F145" s="93">
        <f t="shared" si="70"/>
        <v>0</v>
      </c>
      <c r="G145" s="22"/>
      <c r="H145" s="22">
        <f>G145*$T$6</f>
        <v>0</v>
      </c>
      <c r="I145" s="220"/>
      <c r="J145" s="22"/>
      <c r="K145" s="220"/>
      <c r="L145" s="22"/>
      <c r="M145" s="3" t="e">
        <f>L145-#REF!</f>
        <v>#REF!</v>
      </c>
      <c r="N145" s="60" t="e">
        <f t="shared" si="72"/>
        <v>#DIV/0!</v>
      </c>
      <c r="O145" s="14" t="e">
        <f t="shared" si="73"/>
        <v>#DIV/0!</v>
      </c>
      <c r="P145" s="60" t="e">
        <f t="shared" si="74"/>
        <v>#DIV/0!</v>
      </c>
      <c r="Q145" s="25">
        <f t="shared" si="75"/>
        <v>0</v>
      </c>
      <c r="R145" s="7">
        <f t="shared" si="76"/>
        <v>0</v>
      </c>
      <c r="S145" s="88">
        <f t="shared" si="79"/>
        <v>0</v>
      </c>
      <c r="T145" s="89">
        <f t="shared" si="49"/>
        <v>0</v>
      </c>
      <c r="U145" s="89" t="e">
        <f t="shared" si="47"/>
        <v>#DIV/0!</v>
      </c>
      <c r="V145" s="89" t="e">
        <f t="shared" si="48"/>
        <v>#DIV/0!</v>
      </c>
      <c r="W145" s="248">
        <f t="shared" si="77"/>
        <v>0</v>
      </c>
      <c r="X145" s="89">
        <f t="shared" si="78"/>
        <v>0</v>
      </c>
    </row>
    <row r="146" spans="1:24" s="145" customFormat="1" ht="42.75" customHeight="1" hidden="1">
      <c r="A146" s="29" t="s">
        <v>244</v>
      </c>
      <c r="B146" s="30" t="s">
        <v>245</v>
      </c>
      <c r="C146" s="7"/>
      <c r="D146" s="7"/>
      <c r="E146" s="25">
        <f t="shared" si="69"/>
        <v>0</v>
      </c>
      <c r="F146" s="14" t="e">
        <f t="shared" si="70"/>
        <v>#DIV/0!</v>
      </c>
      <c r="G146" s="7"/>
      <c r="H146" s="7">
        <f>G146/12*11</f>
        <v>0</v>
      </c>
      <c r="I146" s="219">
        <f>G146/12*2+G146/12*17/22</f>
        <v>0</v>
      </c>
      <c r="J146" s="7"/>
      <c r="K146" s="219"/>
      <c r="L146" s="7"/>
      <c r="M146" s="3"/>
      <c r="N146" s="52" t="e">
        <f t="shared" si="72"/>
        <v>#DIV/0!</v>
      </c>
      <c r="O146" s="14" t="e">
        <f t="shared" si="73"/>
        <v>#DIV/0!</v>
      </c>
      <c r="P146" s="52" t="e">
        <f t="shared" si="74"/>
        <v>#DIV/0!</v>
      </c>
      <c r="Q146" s="25">
        <f t="shared" si="75"/>
        <v>0</v>
      </c>
      <c r="R146" s="7">
        <f t="shared" si="76"/>
        <v>0</v>
      </c>
      <c r="S146" s="88">
        <f t="shared" si="79"/>
        <v>0</v>
      </c>
      <c r="T146" s="89">
        <f t="shared" si="49"/>
        <v>0</v>
      </c>
      <c r="U146" s="89" t="e">
        <f t="shared" si="47"/>
        <v>#DIV/0!</v>
      </c>
      <c r="V146" s="89" t="e">
        <f t="shared" si="48"/>
        <v>#DIV/0!</v>
      </c>
      <c r="W146" s="248">
        <f t="shared" si="77"/>
        <v>0</v>
      </c>
      <c r="X146" s="89">
        <f t="shared" si="78"/>
        <v>0</v>
      </c>
    </row>
    <row r="147" spans="1:24" s="145" customFormat="1" ht="27.75" customHeight="1">
      <c r="A147" s="61" t="s">
        <v>76</v>
      </c>
      <c r="B147" s="55" t="s">
        <v>246</v>
      </c>
      <c r="C147" s="10">
        <f>C148</f>
        <v>3094.3</v>
      </c>
      <c r="D147" s="10">
        <f>D148</f>
        <v>0</v>
      </c>
      <c r="E147" s="6">
        <f t="shared" si="69"/>
        <v>-0.1</v>
      </c>
      <c r="F147" s="6" t="e">
        <f t="shared" si="70"/>
        <v>#DIV/0!</v>
      </c>
      <c r="G147" s="10">
        <f aca="true" t="shared" si="80" ref="G147:M147">G148</f>
        <v>3451.1</v>
      </c>
      <c r="H147" s="10">
        <f t="shared" si="80"/>
        <v>3163.5</v>
      </c>
      <c r="I147" s="209">
        <f t="shared" si="80"/>
        <v>3163.5</v>
      </c>
      <c r="J147" s="10">
        <f t="shared" si="80"/>
        <v>1973.7</v>
      </c>
      <c r="K147" s="209">
        <f t="shared" si="80"/>
        <v>1973.6</v>
      </c>
      <c r="L147" s="10">
        <f t="shared" si="80"/>
        <v>-0.1</v>
      </c>
      <c r="M147" s="10" t="e">
        <f t="shared" si="80"/>
        <v>#REF!</v>
      </c>
      <c r="N147" s="62">
        <f t="shared" si="72"/>
        <v>-0.0028976268436150796</v>
      </c>
      <c r="O147" s="6">
        <f t="shared" si="73"/>
        <v>-0.00316105579263474</v>
      </c>
      <c r="P147" s="62">
        <f t="shared" si="74"/>
        <v>-0.005066882853668424</v>
      </c>
      <c r="Q147" s="6">
        <f t="shared" si="75"/>
        <v>-3163.6</v>
      </c>
      <c r="R147" s="10">
        <f t="shared" si="76"/>
        <v>-1973.6999999999998</v>
      </c>
      <c r="S147" s="88">
        <f t="shared" si="79"/>
        <v>0</v>
      </c>
      <c r="T147" s="89">
        <f t="shared" si="49"/>
        <v>0</v>
      </c>
      <c r="U147" s="89">
        <f t="shared" si="47"/>
        <v>0</v>
      </c>
      <c r="V147" s="89">
        <f t="shared" si="48"/>
        <v>0</v>
      </c>
      <c r="W147" s="248">
        <f t="shared" si="77"/>
        <v>0</v>
      </c>
      <c r="X147" s="89">
        <f t="shared" si="78"/>
        <v>0.10000000000013642</v>
      </c>
    </row>
    <row r="148" spans="1:24" s="145" customFormat="1" ht="26.25" customHeight="1">
      <c r="A148" s="29" t="s">
        <v>247</v>
      </c>
      <c r="B148" s="30" t="s">
        <v>248</v>
      </c>
      <c r="C148" s="3">
        <v>3094.3</v>
      </c>
      <c r="D148" s="7">
        <v>0</v>
      </c>
      <c r="E148" s="25">
        <f t="shared" si="69"/>
        <v>-0.1</v>
      </c>
      <c r="F148" s="25" t="e">
        <f t="shared" si="70"/>
        <v>#DIV/0!</v>
      </c>
      <c r="G148" s="7">
        <v>3451.1</v>
      </c>
      <c r="H148" s="7">
        <f>ROUND(G148*$T$6,1)</f>
        <v>3163.5</v>
      </c>
      <c r="I148" s="219">
        <f>ROUND(G148*$T$7+G148*$T$8,1)</f>
        <v>3163.5</v>
      </c>
      <c r="J148" s="7">
        <v>1973.7</v>
      </c>
      <c r="K148" s="219">
        <v>1973.6</v>
      </c>
      <c r="L148" s="7">
        <v>-0.1</v>
      </c>
      <c r="M148" s="3" t="e">
        <f>L148-#REF!</f>
        <v>#REF!</v>
      </c>
      <c r="N148" s="63">
        <f t="shared" si="72"/>
        <v>-0.0028976268436150796</v>
      </c>
      <c r="O148" s="25">
        <f t="shared" si="73"/>
        <v>-0.00316105579263474</v>
      </c>
      <c r="P148" s="63">
        <f t="shared" si="74"/>
        <v>-0.005066882853668424</v>
      </c>
      <c r="Q148" s="25">
        <f t="shared" si="75"/>
        <v>-3163.6</v>
      </c>
      <c r="R148" s="7">
        <f t="shared" si="76"/>
        <v>-1973.6999999999998</v>
      </c>
      <c r="S148" s="88">
        <f t="shared" si="79"/>
        <v>0</v>
      </c>
      <c r="T148" s="89">
        <f t="shared" si="49"/>
        <v>0</v>
      </c>
      <c r="U148" s="89">
        <f aca="true" t="shared" si="81" ref="U148:U181">L148/G148*100-N148</f>
        <v>0</v>
      </c>
      <c r="V148" s="89">
        <f aca="true" t="shared" si="82" ref="V148:V181">L148/I148*100-O148</f>
        <v>0</v>
      </c>
      <c r="W148" s="248">
        <f t="shared" si="77"/>
        <v>0</v>
      </c>
      <c r="X148" s="89">
        <f t="shared" si="78"/>
        <v>0.10000000000013642</v>
      </c>
    </row>
    <row r="149" spans="1:24" s="150" customFormat="1" ht="27" customHeight="1">
      <c r="A149" s="61" t="s">
        <v>77</v>
      </c>
      <c r="B149" s="55">
        <v>20000000</v>
      </c>
      <c r="C149" s="10">
        <f>C150+C151+C159</f>
        <v>64560.899999999994</v>
      </c>
      <c r="D149" s="10">
        <f>D151+D159+D150</f>
        <v>57151.200000000004</v>
      </c>
      <c r="E149" s="6">
        <f t="shared" si="69"/>
        <v>3766.899999999994</v>
      </c>
      <c r="F149" s="100">
        <f t="shared" si="70"/>
        <v>106.59111269754615</v>
      </c>
      <c r="G149" s="10">
        <f>G151+G159</f>
        <v>61127.6</v>
      </c>
      <c r="H149" s="10">
        <f>H151+H159+H150</f>
        <v>56033.7</v>
      </c>
      <c r="I149" s="209">
        <f>I151+I159+I150</f>
        <v>56033.7</v>
      </c>
      <c r="J149" s="10">
        <f>J151+J159+J150</f>
        <v>53988.2</v>
      </c>
      <c r="K149" s="209">
        <f>K151+K159+K150</f>
        <v>53890.1</v>
      </c>
      <c r="L149" s="10">
        <f>L150+L151+L159</f>
        <v>60918.1</v>
      </c>
      <c r="M149" s="10" t="e">
        <f>M150+M151+M159</f>
        <v>#REF!</v>
      </c>
      <c r="N149" s="10">
        <f t="shared" si="72"/>
        <v>99.65727429180926</v>
      </c>
      <c r="O149" s="6">
        <f t="shared" si="73"/>
        <v>108.71689715296331</v>
      </c>
      <c r="P149" s="10">
        <f t="shared" si="74"/>
        <v>113.04135639013472</v>
      </c>
      <c r="Q149" s="6">
        <f t="shared" si="75"/>
        <v>4884.4000000000015</v>
      </c>
      <c r="R149" s="10">
        <f t="shared" si="76"/>
        <v>7028</v>
      </c>
      <c r="S149" s="88">
        <f t="shared" si="79"/>
        <v>0</v>
      </c>
      <c r="T149" s="89">
        <f t="shared" si="49"/>
        <v>0</v>
      </c>
      <c r="U149" s="89">
        <f t="shared" si="81"/>
        <v>0</v>
      </c>
      <c r="V149" s="89">
        <f t="shared" si="82"/>
        <v>0</v>
      </c>
      <c r="W149" s="248">
        <f t="shared" si="77"/>
        <v>0</v>
      </c>
      <c r="X149" s="89">
        <f t="shared" si="78"/>
        <v>98.09999999999854</v>
      </c>
    </row>
    <row r="150" spans="1:24" s="150" customFormat="1" ht="69.75" customHeight="1" hidden="1">
      <c r="A150" s="61" t="s">
        <v>115</v>
      </c>
      <c r="B150" s="55">
        <v>21110000</v>
      </c>
      <c r="C150" s="10"/>
      <c r="D150" s="10"/>
      <c r="E150" s="6">
        <f t="shared" si="69"/>
        <v>0</v>
      </c>
      <c r="F150" s="50" t="e">
        <f t="shared" si="70"/>
        <v>#DIV/0!</v>
      </c>
      <c r="G150" s="10"/>
      <c r="H150" s="10"/>
      <c r="I150" s="209"/>
      <c r="J150" s="10"/>
      <c r="K150" s="209"/>
      <c r="L150" s="10"/>
      <c r="M150" s="3">
        <f>L150</f>
        <v>0</v>
      </c>
      <c r="N150" s="49" t="e">
        <f t="shared" si="72"/>
        <v>#DIV/0!</v>
      </c>
      <c r="O150" s="50" t="e">
        <f t="shared" si="73"/>
        <v>#DIV/0!</v>
      </c>
      <c r="P150" s="49" t="e">
        <f t="shared" si="74"/>
        <v>#DIV/0!</v>
      </c>
      <c r="Q150" s="6">
        <f t="shared" si="75"/>
        <v>0</v>
      </c>
      <c r="R150" s="10">
        <f t="shared" si="76"/>
        <v>0</v>
      </c>
      <c r="S150" s="88">
        <f t="shared" si="79"/>
        <v>0</v>
      </c>
      <c r="T150" s="89">
        <f t="shared" si="49"/>
        <v>0</v>
      </c>
      <c r="U150" s="89" t="e">
        <f t="shared" si="81"/>
        <v>#DIV/0!</v>
      </c>
      <c r="V150" s="89" t="e">
        <f t="shared" si="82"/>
        <v>#DIV/0!</v>
      </c>
      <c r="W150" s="248">
        <f t="shared" si="77"/>
        <v>0</v>
      </c>
      <c r="X150" s="89">
        <f t="shared" si="78"/>
        <v>0</v>
      </c>
    </row>
    <row r="151" spans="1:24" s="150" customFormat="1" ht="21.75" customHeight="1">
      <c r="A151" s="61" t="s">
        <v>89</v>
      </c>
      <c r="B151" s="55">
        <v>24000000</v>
      </c>
      <c r="C151" s="10">
        <f>C152+C155+C158</f>
        <v>4781.2</v>
      </c>
      <c r="D151" s="10">
        <f>D152+D155+D158</f>
        <v>1280.3000000000002</v>
      </c>
      <c r="E151" s="6">
        <f t="shared" si="69"/>
        <v>530.7999999999997</v>
      </c>
      <c r="F151" s="6">
        <f t="shared" si="70"/>
        <v>141.45903303913144</v>
      </c>
      <c r="G151" s="10">
        <f aca="true" t="shared" si="83" ref="G151:M151">G152+G155+G158</f>
        <v>2976.5</v>
      </c>
      <c r="H151" s="10">
        <f t="shared" si="83"/>
        <v>2728.5</v>
      </c>
      <c r="I151" s="209">
        <f t="shared" si="83"/>
        <v>2728.5</v>
      </c>
      <c r="J151" s="10">
        <f t="shared" si="83"/>
        <v>683</v>
      </c>
      <c r="K151" s="209">
        <f>K152+K155+K158</f>
        <v>584.9</v>
      </c>
      <c r="L151" s="10">
        <f t="shared" si="83"/>
        <v>1811.1</v>
      </c>
      <c r="M151" s="10" t="e">
        <f t="shared" si="83"/>
        <v>#REF!</v>
      </c>
      <c r="N151" s="62">
        <f t="shared" si="72"/>
        <v>60.846631950277164</v>
      </c>
      <c r="O151" s="6">
        <f t="shared" si="73"/>
        <v>66.37713029136889</v>
      </c>
      <c r="P151" s="62">
        <f t="shared" si="74"/>
        <v>309.6426739613609</v>
      </c>
      <c r="Q151" s="6">
        <f t="shared" si="75"/>
        <v>-917.4000000000001</v>
      </c>
      <c r="R151" s="10">
        <f t="shared" si="76"/>
        <v>1226.1999999999998</v>
      </c>
      <c r="S151" s="88">
        <f t="shared" si="79"/>
        <v>0</v>
      </c>
      <c r="T151" s="89">
        <f aca="true" t="shared" si="84" ref="T151:T181">L151-K151-R151</f>
        <v>0</v>
      </c>
      <c r="U151" s="89">
        <f t="shared" si="81"/>
        <v>0</v>
      </c>
      <c r="V151" s="89">
        <f t="shared" si="82"/>
        <v>0</v>
      </c>
      <c r="W151" s="248">
        <f t="shared" si="77"/>
        <v>0</v>
      </c>
      <c r="X151" s="89">
        <f t="shared" si="78"/>
        <v>98.10000000000002</v>
      </c>
    </row>
    <row r="152" spans="1:24" s="161" customFormat="1" ht="18" customHeight="1">
      <c r="A152" s="58" t="s">
        <v>292</v>
      </c>
      <c r="B152" s="30">
        <v>24060000</v>
      </c>
      <c r="C152" s="7">
        <f>C154+C153</f>
        <v>551.8000000000001</v>
      </c>
      <c r="D152" s="7">
        <f>D153+D154</f>
        <v>736.5</v>
      </c>
      <c r="E152" s="25">
        <f t="shared" si="69"/>
        <v>147.89999999999998</v>
      </c>
      <c r="F152" s="25">
        <f t="shared" si="70"/>
        <v>120.08146639511202</v>
      </c>
      <c r="G152" s="7">
        <f aca="true" t="shared" si="85" ref="G152:M152">G154+G153</f>
        <v>230</v>
      </c>
      <c r="H152" s="7">
        <f t="shared" si="85"/>
        <v>210.8</v>
      </c>
      <c r="I152" s="219">
        <f t="shared" si="85"/>
        <v>210.8</v>
      </c>
      <c r="J152" s="7">
        <f t="shared" si="85"/>
        <v>62.7</v>
      </c>
      <c r="K152" s="219">
        <f t="shared" si="85"/>
        <v>62.2</v>
      </c>
      <c r="L152" s="7">
        <f t="shared" si="85"/>
        <v>884.4</v>
      </c>
      <c r="M152" s="7" t="e">
        <f t="shared" si="85"/>
        <v>#REF!</v>
      </c>
      <c r="N152" s="63">
        <f t="shared" si="72"/>
        <v>384.5217391304348</v>
      </c>
      <c r="O152" s="25">
        <f t="shared" si="73"/>
        <v>419.5445920303605</v>
      </c>
      <c r="P152" s="63">
        <f t="shared" si="74"/>
        <v>1421.8649517684887</v>
      </c>
      <c r="Q152" s="25">
        <f t="shared" si="75"/>
        <v>673.5999999999999</v>
      </c>
      <c r="R152" s="7">
        <f t="shared" si="76"/>
        <v>822.1999999999999</v>
      </c>
      <c r="S152" s="88">
        <f t="shared" si="79"/>
        <v>0</v>
      </c>
      <c r="T152" s="89">
        <f t="shared" si="84"/>
        <v>0</v>
      </c>
      <c r="U152" s="89">
        <f t="shared" si="81"/>
        <v>0</v>
      </c>
      <c r="V152" s="89">
        <f t="shared" si="82"/>
        <v>0</v>
      </c>
      <c r="W152" s="248">
        <f t="shared" si="77"/>
        <v>0</v>
      </c>
      <c r="X152" s="89">
        <f t="shared" si="78"/>
        <v>0.5</v>
      </c>
    </row>
    <row r="153" spans="1:24" s="145" customFormat="1" ht="50.25" customHeight="1">
      <c r="A153" s="64" t="s">
        <v>249</v>
      </c>
      <c r="B153" s="33">
        <v>24061600</v>
      </c>
      <c r="C153" s="22">
        <v>468.1</v>
      </c>
      <c r="D153" s="22">
        <v>736.5</v>
      </c>
      <c r="E153" s="36">
        <f t="shared" si="69"/>
        <v>147.89999999999998</v>
      </c>
      <c r="F153" s="25">
        <f t="shared" si="70"/>
        <v>120.08146639511202</v>
      </c>
      <c r="G153" s="22">
        <v>200</v>
      </c>
      <c r="H153" s="22">
        <f>ROUND(G153*$T$6,1)</f>
        <v>183.3</v>
      </c>
      <c r="I153" s="219">
        <f>ROUND(G153*$T$7+G153*$T$8,1)</f>
        <v>183.3</v>
      </c>
      <c r="J153" s="22">
        <v>60</v>
      </c>
      <c r="K153" s="220">
        <v>60</v>
      </c>
      <c r="L153" s="22">
        <v>884.4</v>
      </c>
      <c r="M153" s="3" t="e">
        <f>L153-#REF!</f>
        <v>#REF!</v>
      </c>
      <c r="N153" s="65">
        <f t="shared" si="72"/>
        <v>442.2</v>
      </c>
      <c r="O153" s="36">
        <f t="shared" si="73"/>
        <v>482.48772504091653</v>
      </c>
      <c r="P153" s="65">
        <f t="shared" si="74"/>
        <v>1474</v>
      </c>
      <c r="Q153" s="36">
        <f t="shared" si="75"/>
        <v>701.0999999999999</v>
      </c>
      <c r="R153" s="22">
        <f t="shared" si="76"/>
        <v>824.4</v>
      </c>
      <c r="S153" s="88">
        <f t="shared" si="79"/>
        <v>0</v>
      </c>
      <c r="T153" s="89">
        <f t="shared" si="84"/>
        <v>0</v>
      </c>
      <c r="U153" s="89">
        <f t="shared" si="81"/>
        <v>0</v>
      </c>
      <c r="V153" s="89">
        <f t="shared" si="82"/>
        <v>0</v>
      </c>
      <c r="W153" s="248">
        <f t="shared" si="77"/>
        <v>0</v>
      </c>
      <c r="X153" s="89">
        <f t="shared" si="78"/>
        <v>0</v>
      </c>
    </row>
    <row r="154" spans="1:24" s="145" customFormat="1" ht="90.75" customHeight="1">
      <c r="A154" s="59" t="s">
        <v>250</v>
      </c>
      <c r="B154" s="33">
        <v>24062100</v>
      </c>
      <c r="C154" s="22">
        <v>83.7</v>
      </c>
      <c r="D154" s="22">
        <v>0</v>
      </c>
      <c r="E154" s="25">
        <f t="shared" si="69"/>
        <v>0</v>
      </c>
      <c r="F154" s="25" t="e">
        <f t="shared" si="70"/>
        <v>#DIV/0!</v>
      </c>
      <c r="G154" s="22">
        <v>30</v>
      </c>
      <c r="H154" s="22">
        <f>ROUND(G154*$T$6,1)</f>
        <v>27.5</v>
      </c>
      <c r="I154" s="219">
        <f>ROUND(G154*$T$7+G154*$T$8,1)</f>
        <v>27.5</v>
      </c>
      <c r="J154" s="22">
        <v>2.7</v>
      </c>
      <c r="K154" s="220">
        <v>2.2</v>
      </c>
      <c r="L154" s="22">
        <v>0</v>
      </c>
      <c r="M154" s="3" t="e">
        <f>L154-#REF!</f>
        <v>#REF!</v>
      </c>
      <c r="N154" s="22">
        <f t="shared" si="72"/>
        <v>0</v>
      </c>
      <c r="O154" s="22">
        <f t="shared" si="73"/>
        <v>0</v>
      </c>
      <c r="P154" s="22">
        <f t="shared" si="74"/>
        <v>0</v>
      </c>
      <c r="Q154" s="22">
        <f t="shared" si="75"/>
        <v>-27.5</v>
      </c>
      <c r="R154" s="7">
        <f t="shared" si="76"/>
        <v>-2.2</v>
      </c>
      <c r="S154" s="88">
        <f t="shared" si="79"/>
        <v>0</v>
      </c>
      <c r="T154" s="89">
        <f t="shared" si="84"/>
        <v>0</v>
      </c>
      <c r="U154" s="89">
        <f t="shared" si="81"/>
        <v>0</v>
      </c>
      <c r="V154" s="89">
        <f t="shared" si="82"/>
        <v>0</v>
      </c>
      <c r="W154" s="248">
        <f t="shared" si="77"/>
        <v>0</v>
      </c>
      <c r="X154" s="89">
        <f t="shared" si="78"/>
        <v>0.5</v>
      </c>
    </row>
    <row r="155" spans="1:24" s="150" customFormat="1" ht="40.5" customHeight="1">
      <c r="A155" s="66" t="s">
        <v>251</v>
      </c>
      <c r="B155" s="67">
        <v>24110000</v>
      </c>
      <c r="C155" s="10">
        <f>C157+C156</f>
        <v>129.7</v>
      </c>
      <c r="D155" s="10">
        <f>D156+D157</f>
        <v>376.9</v>
      </c>
      <c r="E155" s="6">
        <f t="shared" si="69"/>
        <v>482.9</v>
      </c>
      <c r="F155" s="6">
        <f t="shared" si="70"/>
        <v>228.12417086760414</v>
      </c>
      <c r="G155" s="10">
        <f aca="true" t="shared" si="86" ref="G155:M155">G157+G156</f>
        <v>189.9</v>
      </c>
      <c r="H155" s="10">
        <f t="shared" si="86"/>
        <v>174.10000000000002</v>
      </c>
      <c r="I155" s="209">
        <f>ROUND(I157+I156,1)</f>
        <v>174.1</v>
      </c>
      <c r="J155" s="10">
        <f t="shared" si="86"/>
        <v>6.3</v>
      </c>
      <c r="K155" s="209">
        <f t="shared" si="86"/>
        <v>4.2</v>
      </c>
      <c r="L155" s="10">
        <f t="shared" si="86"/>
        <v>859.8</v>
      </c>
      <c r="M155" s="10" t="e">
        <f t="shared" si="86"/>
        <v>#REF!</v>
      </c>
      <c r="N155" s="62">
        <f t="shared" si="72"/>
        <v>452.7646129541864</v>
      </c>
      <c r="O155" s="6">
        <f t="shared" si="73"/>
        <v>493.85410683515215</v>
      </c>
      <c r="P155" s="62">
        <f t="shared" si="74"/>
        <v>20471.42857142857</v>
      </c>
      <c r="Q155" s="6">
        <f t="shared" si="75"/>
        <v>685.6999999999999</v>
      </c>
      <c r="R155" s="10">
        <f t="shared" si="76"/>
        <v>855.5999999999999</v>
      </c>
      <c r="S155" s="88">
        <f t="shared" si="79"/>
        <v>0</v>
      </c>
      <c r="T155" s="89">
        <f t="shared" si="84"/>
        <v>0</v>
      </c>
      <c r="U155" s="89">
        <f t="shared" si="81"/>
        <v>0</v>
      </c>
      <c r="V155" s="89">
        <f t="shared" si="82"/>
        <v>0</v>
      </c>
      <c r="W155" s="248">
        <f t="shared" si="77"/>
        <v>0</v>
      </c>
      <c r="X155" s="89">
        <f t="shared" si="78"/>
        <v>2.0999999999999996</v>
      </c>
    </row>
    <row r="156" spans="1:24" s="152" customFormat="1" ht="37.5" customHeight="1">
      <c r="A156" s="68" t="s">
        <v>252</v>
      </c>
      <c r="B156" s="69">
        <v>24110600</v>
      </c>
      <c r="C156" s="7">
        <v>128.1</v>
      </c>
      <c r="D156" s="7">
        <v>250</v>
      </c>
      <c r="E156" s="25">
        <f t="shared" si="69"/>
        <v>15</v>
      </c>
      <c r="F156" s="25">
        <f t="shared" si="70"/>
        <v>106</v>
      </c>
      <c r="G156" s="7">
        <v>188.5</v>
      </c>
      <c r="H156" s="7">
        <f>ROUND(G156*$T$6,1)</f>
        <v>172.8</v>
      </c>
      <c r="I156" s="219">
        <f>ROUND(G156*$T$7+G156*$T$8,1)</f>
        <v>172.8</v>
      </c>
      <c r="J156" s="7">
        <v>0</v>
      </c>
      <c r="K156" s="219">
        <v>0</v>
      </c>
      <c r="L156" s="7">
        <v>265</v>
      </c>
      <c r="M156" s="3" t="e">
        <f>L156-#REF!</f>
        <v>#REF!</v>
      </c>
      <c r="N156" s="7">
        <f t="shared" si="72"/>
        <v>140.58355437665782</v>
      </c>
      <c r="O156" s="7">
        <f t="shared" si="73"/>
        <v>153.35648148148147</v>
      </c>
      <c r="P156" s="63" t="e">
        <f t="shared" si="74"/>
        <v>#DIV/0!</v>
      </c>
      <c r="Q156" s="25">
        <f t="shared" si="75"/>
        <v>92.19999999999999</v>
      </c>
      <c r="R156" s="7">
        <f t="shared" si="76"/>
        <v>265</v>
      </c>
      <c r="S156" s="88">
        <f t="shared" si="79"/>
        <v>0</v>
      </c>
      <c r="T156" s="89">
        <f t="shared" si="84"/>
        <v>0</v>
      </c>
      <c r="U156" s="89">
        <f t="shared" si="81"/>
        <v>0</v>
      </c>
      <c r="V156" s="89">
        <f t="shared" si="82"/>
        <v>0</v>
      </c>
      <c r="W156" s="248">
        <f t="shared" si="77"/>
        <v>0</v>
      </c>
      <c r="X156" s="89">
        <f t="shared" si="78"/>
        <v>0</v>
      </c>
    </row>
    <row r="157" spans="1:24" s="145" customFormat="1" ht="109.5" customHeight="1">
      <c r="A157" s="70" t="s">
        <v>253</v>
      </c>
      <c r="B157" s="71">
        <v>24110900</v>
      </c>
      <c r="C157" s="22">
        <v>1.6</v>
      </c>
      <c r="D157" s="22">
        <v>126.9</v>
      </c>
      <c r="E157" s="25">
        <f t="shared" si="69"/>
        <v>467.9</v>
      </c>
      <c r="F157" s="25">
        <f t="shared" si="70"/>
        <v>468.7155240346729</v>
      </c>
      <c r="G157" s="22">
        <v>1.4</v>
      </c>
      <c r="H157" s="22">
        <f>ROUND(G157*$T$6,1)</f>
        <v>1.3</v>
      </c>
      <c r="I157" s="219">
        <f>ROUND(G157*$T$7+G157*$T$8,1)</f>
        <v>1.3</v>
      </c>
      <c r="J157" s="22">
        <v>6.3</v>
      </c>
      <c r="K157" s="220">
        <v>4.2</v>
      </c>
      <c r="L157" s="22">
        <v>594.8</v>
      </c>
      <c r="M157" s="3" t="e">
        <f>L157-#REF!</f>
        <v>#REF!</v>
      </c>
      <c r="N157" s="65">
        <f t="shared" si="72"/>
        <v>42485.71428571428</v>
      </c>
      <c r="O157" s="25">
        <f t="shared" si="73"/>
        <v>45753.84615384615</v>
      </c>
      <c r="P157" s="65">
        <f t="shared" si="74"/>
        <v>14161.90476190476</v>
      </c>
      <c r="Q157" s="25">
        <f t="shared" si="75"/>
        <v>593.5</v>
      </c>
      <c r="R157" s="7">
        <f t="shared" si="76"/>
        <v>590.5999999999999</v>
      </c>
      <c r="S157" s="88">
        <f t="shared" si="79"/>
        <v>0</v>
      </c>
      <c r="T157" s="89">
        <f t="shared" si="84"/>
        <v>0</v>
      </c>
      <c r="U157" s="89">
        <f t="shared" si="81"/>
        <v>0</v>
      </c>
      <c r="V157" s="89">
        <f t="shared" si="82"/>
        <v>0</v>
      </c>
      <c r="W157" s="248">
        <f t="shared" si="77"/>
        <v>0</v>
      </c>
      <c r="X157" s="89">
        <f t="shared" si="78"/>
        <v>2.0999999999999996</v>
      </c>
    </row>
    <row r="158" spans="1:24" s="150" customFormat="1" ht="54" customHeight="1">
      <c r="A158" s="66" t="s">
        <v>254</v>
      </c>
      <c r="B158" s="67">
        <v>24170000</v>
      </c>
      <c r="C158" s="10">
        <v>4099.7</v>
      </c>
      <c r="D158" s="10">
        <v>166.9</v>
      </c>
      <c r="E158" s="6">
        <f t="shared" si="69"/>
        <v>-100</v>
      </c>
      <c r="F158" s="6">
        <f t="shared" si="70"/>
        <v>40.083882564409826</v>
      </c>
      <c r="G158" s="10">
        <f>1100+1421.1+35.5</f>
        <v>2556.6</v>
      </c>
      <c r="H158" s="10">
        <f>ROUND(G158*$T$6,1)</f>
        <v>2343.6</v>
      </c>
      <c r="I158" s="209">
        <f>ROUND(G158*$T$7+G158*$T$8,1)</f>
        <v>2343.6</v>
      </c>
      <c r="J158" s="10">
        <v>614</v>
      </c>
      <c r="K158" s="209">
        <v>518.5</v>
      </c>
      <c r="L158" s="10">
        <v>66.9</v>
      </c>
      <c r="M158" s="9" t="e">
        <f>L158-#REF!</f>
        <v>#REF!</v>
      </c>
      <c r="N158" s="62">
        <f t="shared" si="72"/>
        <v>2.616756629899085</v>
      </c>
      <c r="O158" s="6">
        <f t="shared" si="73"/>
        <v>2.8545826932923712</v>
      </c>
      <c r="P158" s="62">
        <f t="shared" si="74"/>
        <v>12.902603664416587</v>
      </c>
      <c r="Q158" s="6">
        <f t="shared" si="75"/>
        <v>-2276.7</v>
      </c>
      <c r="R158" s="10">
        <f t="shared" si="76"/>
        <v>-451.6</v>
      </c>
      <c r="S158" s="88">
        <f t="shared" si="79"/>
        <v>0</v>
      </c>
      <c r="T158" s="89">
        <f t="shared" si="84"/>
        <v>0</v>
      </c>
      <c r="U158" s="89">
        <f t="shared" si="81"/>
        <v>0</v>
      </c>
      <c r="V158" s="89">
        <f t="shared" si="82"/>
        <v>0</v>
      </c>
      <c r="W158" s="248">
        <f t="shared" si="77"/>
        <v>0</v>
      </c>
      <c r="X158" s="89">
        <f t="shared" si="78"/>
        <v>95.5</v>
      </c>
    </row>
    <row r="159" spans="1:24" s="150" customFormat="1" ht="39.75" customHeight="1">
      <c r="A159" s="72" t="s">
        <v>255</v>
      </c>
      <c r="B159" s="55">
        <v>25000000</v>
      </c>
      <c r="C159" s="10">
        <v>59779.7</v>
      </c>
      <c r="D159" s="10">
        <v>55870.9</v>
      </c>
      <c r="E159" s="6">
        <f t="shared" si="69"/>
        <v>3236.0999999999985</v>
      </c>
      <c r="F159" s="6">
        <f t="shared" si="70"/>
        <v>105.79210286571363</v>
      </c>
      <c r="G159" s="10">
        <v>58151.1</v>
      </c>
      <c r="H159" s="10">
        <f>ROUND(G159*$T$6,1)</f>
        <v>53305.2</v>
      </c>
      <c r="I159" s="209">
        <f>ROUND(G159*$T$7+G159*$T$8,1)</f>
        <v>53305.2</v>
      </c>
      <c r="J159" s="10">
        <f>H159</f>
        <v>53305.2</v>
      </c>
      <c r="K159" s="209">
        <f>I159</f>
        <v>53305.2</v>
      </c>
      <c r="L159" s="10">
        <v>59107</v>
      </c>
      <c r="M159" s="9" t="e">
        <f>L159-#REF!</f>
        <v>#REF!</v>
      </c>
      <c r="N159" s="62">
        <f t="shared" si="72"/>
        <v>101.64382101112449</v>
      </c>
      <c r="O159" s="6">
        <f t="shared" si="73"/>
        <v>110.88411637138591</v>
      </c>
      <c r="P159" s="62">
        <f t="shared" si="74"/>
        <v>110.88411637138591</v>
      </c>
      <c r="Q159" s="6">
        <f t="shared" si="75"/>
        <v>5801.800000000003</v>
      </c>
      <c r="R159" s="10">
        <f t="shared" si="76"/>
        <v>5801.800000000003</v>
      </c>
      <c r="S159" s="88">
        <f t="shared" si="79"/>
        <v>0</v>
      </c>
      <c r="T159" s="89">
        <f t="shared" si="84"/>
        <v>0</v>
      </c>
      <c r="U159" s="89">
        <f t="shared" si="81"/>
        <v>0</v>
      </c>
      <c r="V159" s="89">
        <f t="shared" si="82"/>
        <v>0</v>
      </c>
      <c r="W159" s="248">
        <f t="shared" si="77"/>
        <v>0</v>
      </c>
      <c r="X159" s="89">
        <f t="shared" si="78"/>
        <v>0</v>
      </c>
    </row>
    <row r="160" spans="1:24" s="150" customFormat="1" ht="36.75" customHeight="1">
      <c r="A160" s="72" t="s">
        <v>256</v>
      </c>
      <c r="B160" s="55">
        <v>30000000</v>
      </c>
      <c r="C160" s="10">
        <f>C161+C163</f>
        <v>2762</v>
      </c>
      <c r="D160" s="10">
        <f>D161+D163</f>
        <v>48924.7</v>
      </c>
      <c r="E160" s="6">
        <f t="shared" si="69"/>
        <v>8234.599999999999</v>
      </c>
      <c r="F160" s="6">
        <f t="shared" si="70"/>
        <v>116.83117116712008</v>
      </c>
      <c r="G160" s="10">
        <f aca="true" t="shared" si="87" ref="G160:M160">G161+G163</f>
        <v>3854.1</v>
      </c>
      <c r="H160" s="10">
        <f t="shared" si="87"/>
        <v>3533</v>
      </c>
      <c r="I160" s="209">
        <f t="shared" si="87"/>
        <v>3533</v>
      </c>
      <c r="J160" s="10">
        <f t="shared" si="87"/>
        <v>2460</v>
      </c>
      <c r="K160" s="209">
        <f>K161+K163</f>
        <v>2393.8</v>
      </c>
      <c r="L160" s="10">
        <f t="shared" si="87"/>
        <v>57159.299999999996</v>
      </c>
      <c r="M160" s="10" t="e">
        <f t="shared" si="87"/>
        <v>#REF!</v>
      </c>
      <c r="N160" s="10">
        <f t="shared" si="72"/>
        <v>1483.0777613450612</v>
      </c>
      <c r="O160" s="6">
        <f t="shared" si="73"/>
        <v>1617.8686668553635</v>
      </c>
      <c r="P160" s="10">
        <f t="shared" si="74"/>
        <v>2387.8059988303116</v>
      </c>
      <c r="Q160" s="6">
        <f t="shared" si="75"/>
        <v>53626.299999999996</v>
      </c>
      <c r="R160" s="10">
        <f t="shared" si="76"/>
        <v>54765.49999999999</v>
      </c>
      <c r="S160" s="88">
        <f t="shared" si="79"/>
        <v>0</v>
      </c>
      <c r="T160" s="89">
        <f t="shared" si="84"/>
        <v>0</v>
      </c>
      <c r="U160" s="89">
        <f t="shared" si="81"/>
        <v>0</v>
      </c>
      <c r="V160" s="89">
        <f t="shared" si="82"/>
        <v>0</v>
      </c>
      <c r="W160" s="248">
        <f t="shared" si="77"/>
        <v>0</v>
      </c>
      <c r="X160" s="89">
        <f t="shared" si="78"/>
        <v>66.19999999999982</v>
      </c>
    </row>
    <row r="161" spans="1:24" s="147" customFormat="1" ht="34.5" customHeight="1">
      <c r="A161" s="48" t="s">
        <v>266</v>
      </c>
      <c r="B161" s="43">
        <v>31000000</v>
      </c>
      <c r="C161" s="10">
        <f>C162</f>
        <v>2466</v>
      </c>
      <c r="D161" s="10">
        <f>D162</f>
        <v>42827.2</v>
      </c>
      <c r="E161" s="6">
        <f t="shared" si="69"/>
        <v>8153.4000000000015</v>
      </c>
      <c r="F161" s="6">
        <f t="shared" si="70"/>
        <v>119.03790114693467</v>
      </c>
      <c r="G161" s="10">
        <f aca="true" t="shared" si="88" ref="G161:M161">G162</f>
        <v>2766.5</v>
      </c>
      <c r="H161" s="10">
        <f t="shared" si="88"/>
        <v>2536</v>
      </c>
      <c r="I161" s="209">
        <f t="shared" si="88"/>
        <v>2536</v>
      </c>
      <c r="J161" s="10">
        <f t="shared" si="88"/>
        <v>2460</v>
      </c>
      <c r="K161" s="209">
        <f t="shared" si="88"/>
        <v>2393.8</v>
      </c>
      <c r="L161" s="10">
        <f t="shared" si="88"/>
        <v>50980.6</v>
      </c>
      <c r="M161" s="10" t="e">
        <f t="shared" si="88"/>
        <v>#REF!</v>
      </c>
      <c r="N161" s="62">
        <f t="shared" si="72"/>
        <v>1842.783300198807</v>
      </c>
      <c r="O161" s="6">
        <f t="shared" si="73"/>
        <v>2010.276025236593</v>
      </c>
      <c r="P161" s="62">
        <f t="shared" si="74"/>
        <v>2129.6933745509227</v>
      </c>
      <c r="Q161" s="6">
        <f t="shared" si="75"/>
        <v>48444.6</v>
      </c>
      <c r="R161" s="10">
        <f t="shared" si="76"/>
        <v>48586.799999999996</v>
      </c>
      <c r="S161" s="88">
        <f t="shared" si="79"/>
        <v>0</v>
      </c>
      <c r="T161" s="89">
        <f t="shared" si="84"/>
        <v>0</v>
      </c>
      <c r="U161" s="89">
        <f t="shared" si="81"/>
        <v>0</v>
      </c>
      <c r="V161" s="89">
        <f t="shared" si="82"/>
        <v>0</v>
      </c>
      <c r="W161" s="248">
        <f t="shared" si="77"/>
        <v>0</v>
      </c>
      <c r="X161" s="89">
        <f t="shared" si="78"/>
        <v>66.19999999999982</v>
      </c>
    </row>
    <row r="162" spans="1:24" s="91" customFormat="1" ht="62.25" customHeight="1">
      <c r="A162" s="73" t="s">
        <v>257</v>
      </c>
      <c r="B162" s="27">
        <v>31030000</v>
      </c>
      <c r="C162" s="7">
        <v>2466</v>
      </c>
      <c r="D162" s="7">
        <v>42827.2</v>
      </c>
      <c r="E162" s="25">
        <f t="shared" si="69"/>
        <v>8153.4000000000015</v>
      </c>
      <c r="F162" s="25">
        <f t="shared" si="70"/>
        <v>119.03790114693467</v>
      </c>
      <c r="G162" s="7">
        <f>1000+1766.5</f>
        <v>2766.5</v>
      </c>
      <c r="H162" s="7">
        <f>ROUND(G162*$T$6,1)</f>
        <v>2536</v>
      </c>
      <c r="I162" s="219">
        <f>ROUND(G162*$T$7+G162*$T$8,1)</f>
        <v>2536</v>
      </c>
      <c r="J162" s="7">
        <v>2460</v>
      </c>
      <c r="K162" s="219">
        <v>2393.8</v>
      </c>
      <c r="L162" s="7">
        <v>50980.6</v>
      </c>
      <c r="M162" s="3" t="e">
        <f>L162-#REF!</f>
        <v>#REF!</v>
      </c>
      <c r="N162" s="63">
        <f t="shared" si="72"/>
        <v>1842.783300198807</v>
      </c>
      <c r="O162" s="25">
        <f t="shared" si="73"/>
        <v>2010.276025236593</v>
      </c>
      <c r="P162" s="63">
        <f t="shared" si="74"/>
        <v>2129.6933745509227</v>
      </c>
      <c r="Q162" s="25">
        <f t="shared" si="75"/>
        <v>48444.6</v>
      </c>
      <c r="R162" s="7">
        <f t="shared" si="76"/>
        <v>48586.799999999996</v>
      </c>
      <c r="S162" s="88">
        <f t="shared" si="79"/>
        <v>0</v>
      </c>
      <c r="T162" s="89">
        <f t="shared" si="84"/>
        <v>0</v>
      </c>
      <c r="U162" s="89">
        <f t="shared" si="81"/>
        <v>0</v>
      </c>
      <c r="V162" s="89">
        <f t="shared" si="82"/>
        <v>0</v>
      </c>
      <c r="W162" s="248">
        <f t="shared" si="77"/>
        <v>0</v>
      </c>
      <c r="X162" s="89">
        <f t="shared" si="78"/>
        <v>66.19999999999982</v>
      </c>
    </row>
    <row r="163" spans="1:24" s="150" customFormat="1" ht="37.5" customHeight="1">
      <c r="A163" s="48" t="s">
        <v>258</v>
      </c>
      <c r="B163" s="55">
        <v>33000000</v>
      </c>
      <c r="C163" s="10">
        <f>C164</f>
        <v>296</v>
      </c>
      <c r="D163" s="10">
        <f>D164</f>
        <v>6097.5</v>
      </c>
      <c r="E163" s="6">
        <f t="shared" si="69"/>
        <v>81.19999999999982</v>
      </c>
      <c r="F163" s="6">
        <f t="shared" si="70"/>
        <v>101.33169331693317</v>
      </c>
      <c r="G163" s="10">
        <f aca="true" t="shared" si="89" ref="G163:M163">G164</f>
        <v>1087.6</v>
      </c>
      <c r="H163" s="10">
        <f t="shared" si="89"/>
        <v>997</v>
      </c>
      <c r="I163" s="209">
        <f t="shared" si="89"/>
        <v>997</v>
      </c>
      <c r="J163" s="10">
        <f t="shared" si="89"/>
        <v>0</v>
      </c>
      <c r="K163" s="209">
        <f t="shared" si="89"/>
        <v>0</v>
      </c>
      <c r="L163" s="10">
        <f t="shared" si="89"/>
        <v>6178.7</v>
      </c>
      <c r="M163" s="10" t="e">
        <f t="shared" si="89"/>
        <v>#REF!</v>
      </c>
      <c r="N163" s="62">
        <f t="shared" si="72"/>
        <v>568.1040823832292</v>
      </c>
      <c r="O163" s="6">
        <f t="shared" si="73"/>
        <v>619.729187562688</v>
      </c>
      <c r="P163" s="62" t="e">
        <f t="shared" si="74"/>
        <v>#DIV/0!</v>
      </c>
      <c r="Q163" s="6">
        <f t="shared" si="75"/>
        <v>5181.7</v>
      </c>
      <c r="R163" s="10">
        <f t="shared" si="76"/>
        <v>6178.7</v>
      </c>
      <c r="S163" s="88">
        <f t="shared" si="79"/>
        <v>0</v>
      </c>
      <c r="T163" s="89">
        <f t="shared" si="84"/>
        <v>0</v>
      </c>
      <c r="U163" s="89">
        <f t="shared" si="81"/>
        <v>0</v>
      </c>
      <c r="V163" s="89">
        <f t="shared" si="82"/>
        <v>0</v>
      </c>
      <c r="W163" s="248">
        <f t="shared" si="77"/>
        <v>0</v>
      </c>
      <c r="X163" s="89">
        <f t="shared" si="78"/>
        <v>0</v>
      </c>
    </row>
    <row r="164" spans="1:24" s="92" customFormat="1" ht="20.25" customHeight="1">
      <c r="A164" s="29" t="s">
        <v>259</v>
      </c>
      <c r="B164" s="27">
        <v>33010000</v>
      </c>
      <c r="C164" s="7">
        <f>C165+C166</f>
        <v>296</v>
      </c>
      <c r="D164" s="7">
        <f>D165+D166</f>
        <v>6097.5</v>
      </c>
      <c r="E164" s="25">
        <f t="shared" si="69"/>
        <v>81.19999999999982</v>
      </c>
      <c r="F164" s="25">
        <f t="shared" si="70"/>
        <v>101.33169331693317</v>
      </c>
      <c r="G164" s="7">
        <f aca="true" t="shared" si="90" ref="G164:M164">G165+G166</f>
        <v>1087.6</v>
      </c>
      <c r="H164" s="7">
        <f t="shared" si="90"/>
        <v>997</v>
      </c>
      <c r="I164" s="219">
        <f t="shared" si="90"/>
        <v>997</v>
      </c>
      <c r="J164" s="7">
        <f t="shared" si="90"/>
        <v>0</v>
      </c>
      <c r="K164" s="219">
        <f t="shared" si="90"/>
        <v>0</v>
      </c>
      <c r="L164" s="7">
        <f t="shared" si="90"/>
        <v>6178.7</v>
      </c>
      <c r="M164" s="7" t="e">
        <f t="shared" si="90"/>
        <v>#REF!</v>
      </c>
      <c r="N164" s="63">
        <f t="shared" si="72"/>
        <v>568.1040823832292</v>
      </c>
      <c r="O164" s="25">
        <f t="shared" si="73"/>
        <v>619.729187562688</v>
      </c>
      <c r="P164" s="63" t="e">
        <f t="shared" si="74"/>
        <v>#DIV/0!</v>
      </c>
      <c r="Q164" s="25">
        <f t="shared" si="75"/>
        <v>5181.7</v>
      </c>
      <c r="R164" s="7">
        <f t="shared" si="76"/>
        <v>6178.7</v>
      </c>
      <c r="S164" s="88">
        <f t="shared" si="79"/>
        <v>0</v>
      </c>
      <c r="T164" s="89">
        <f t="shared" si="84"/>
        <v>0</v>
      </c>
      <c r="U164" s="89">
        <f t="shared" si="81"/>
        <v>0</v>
      </c>
      <c r="V164" s="89">
        <f t="shared" si="82"/>
        <v>0</v>
      </c>
      <c r="W164" s="248">
        <f t="shared" si="77"/>
        <v>0</v>
      </c>
      <c r="X164" s="89">
        <f t="shared" si="78"/>
        <v>0</v>
      </c>
    </row>
    <row r="165" spans="1:24" s="145" customFormat="1" ht="109.5" customHeight="1">
      <c r="A165" s="74" t="s">
        <v>108</v>
      </c>
      <c r="B165" s="33">
        <v>33010100</v>
      </c>
      <c r="C165" s="22">
        <v>296</v>
      </c>
      <c r="D165" s="22">
        <v>6097.5</v>
      </c>
      <c r="E165" s="36">
        <f t="shared" si="69"/>
        <v>81.19999999999982</v>
      </c>
      <c r="F165" s="36">
        <f t="shared" si="70"/>
        <v>101.33169331693317</v>
      </c>
      <c r="G165" s="22">
        <v>1087.6</v>
      </c>
      <c r="H165" s="22">
        <f>ROUND(G165*$T$6,1)</f>
        <v>997</v>
      </c>
      <c r="I165" s="220">
        <f>ROUND(G165*$T$7+G165*$T$8,1)</f>
        <v>997</v>
      </c>
      <c r="J165" s="22">
        <v>0</v>
      </c>
      <c r="K165" s="220">
        <v>0</v>
      </c>
      <c r="L165" s="22">
        <v>6178.7</v>
      </c>
      <c r="M165" s="3" t="e">
        <f>L165-#REF!</f>
        <v>#REF!</v>
      </c>
      <c r="N165" s="65">
        <f t="shared" si="72"/>
        <v>568.1040823832292</v>
      </c>
      <c r="O165" s="36">
        <f t="shared" si="73"/>
        <v>619.729187562688</v>
      </c>
      <c r="P165" s="63" t="e">
        <f t="shared" si="74"/>
        <v>#DIV/0!</v>
      </c>
      <c r="Q165" s="36">
        <f t="shared" si="75"/>
        <v>5181.7</v>
      </c>
      <c r="R165" s="22">
        <f t="shared" si="76"/>
        <v>6178.7</v>
      </c>
      <c r="S165" s="88">
        <f t="shared" si="79"/>
        <v>0</v>
      </c>
      <c r="T165" s="89">
        <f t="shared" si="84"/>
        <v>0</v>
      </c>
      <c r="U165" s="89">
        <f t="shared" si="81"/>
        <v>0</v>
      </c>
      <c r="V165" s="89">
        <f t="shared" si="82"/>
        <v>0</v>
      </c>
      <c r="W165" s="248">
        <f t="shared" si="77"/>
        <v>0</v>
      </c>
      <c r="X165" s="89">
        <f t="shared" si="78"/>
        <v>0</v>
      </c>
    </row>
    <row r="166" spans="1:24" s="145" customFormat="1" ht="42.75" customHeight="1" hidden="1">
      <c r="A166" s="74" t="s">
        <v>109</v>
      </c>
      <c r="B166" s="33">
        <v>33010200</v>
      </c>
      <c r="C166" s="22"/>
      <c r="D166" s="22"/>
      <c r="E166" s="6">
        <f t="shared" si="69"/>
        <v>0</v>
      </c>
      <c r="F166" s="50" t="e">
        <f t="shared" si="70"/>
        <v>#DIV/0!</v>
      </c>
      <c r="G166" s="22"/>
      <c r="H166" s="22">
        <f>G166/12*11</f>
        <v>0</v>
      </c>
      <c r="I166" s="220">
        <f>G166/12*11+G166/12*14/22</f>
        <v>0</v>
      </c>
      <c r="J166" s="22"/>
      <c r="K166" s="219"/>
      <c r="L166" s="22"/>
      <c r="M166" s="3"/>
      <c r="N166" s="60" t="e">
        <f t="shared" si="72"/>
        <v>#DIV/0!</v>
      </c>
      <c r="O166" s="14" t="e">
        <f t="shared" si="73"/>
        <v>#DIV/0!</v>
      </c>
      <c r="P166" s="63" t="e">
        <f t="shared" si="74"/>
        <v>#DIV/0!</v>
      </c>
      <c r="Q166" s="25">
        <f t="shared" si="75"/>
        <v>0</v>
      </c>
      <c r="R166" s="7">
        <f t="shared" si="76"/>
        <v>0</v>
      </c>
      <c r="S166" s="88">
        <f t="shared" si="79"/>
        <v>0</v>
      </c>
      <c r="T166" s="89">
        <f t="shared" si="84"/>
        <v>0</v>
      </c>
      <c r="U166" s="89" t="e">
        <f t="shared" si="81"/>
        <v>#DIV/0!</v>
      </c>
      <c r="V166" s="89" t="e">
        <f t="shared" si="82"/>
        <v>#DIV/0!</v>
      </c>
      <c r="W166" s="248">
        <f t="shared" si="77"/>
        <v>0</v>
      </c>
      <c r="X166" s="89">
        <f t="shared" si="78"/>
        <v>0</v>
      </c>
    </row>
    <row r="167" spans="1:24" s="150" customFormat="1" ht="19.5" customHeight="1">
      <c r="A167" s="61" t="s">
        <v>98</v>
      </c>
      <c r="B167" s="55">
        <v>40000000</v>
      </c>
      <c r="C167" s="10">
        <f>C168</f>
        <v>658.4</v>
      </c>
      <c r="D167" s="10">
        <f>D168</f>
        <v>968.6</v>
      </c>
      <c r="E167" s="6">
        <f t="shared" si="69"/>
        <v>23240.800000000003</v>
      </c>
      <c r="F167" s="6">
        <f t="shared" si="70"/>
        <v>2499.421845963246</v>
      </c>
      <c r="G167" s="10">
        <f aca="true" t="shared" si="91" ref="G167:M168">G168</f>
        <v>45898.8</v>
      </c>
      <c r="H167" s="10">
        <f t="shared" si="91"/>
        <v>42073.9</v>
      </c>
      <c r="I167" s="209">
        <f t="shared" si="91"/>
        <v>42073.9</v>
      </c>
      <c r="J167" s="10">
        <f t="shared" si="91"/>
        <v>25933.8</v>
      </c>
      <c r="K167" s="209">
        <f t="shared" si="91"/>
        <v>25923.3</v>
      </c>
      <c r="L167" s="10">
        <f t="shared" si="91"/>
        <v>24209.4</v>
      </c>
      <c r="M167" s="10" t="e">
        <f t="shared" si="91"/>
        <v>#REF!</v>
      </c>
      <c r="N167" s="62">
        <f t="shared" si="72"/>
        <v>52.745169808361005</v>
      </c>
      <c r="O167" s="6">
        <f t="shared" si="73"/>
        <v>57.54018524548473</v>
      </c>
      <c r="P167" s="62">
        <f t="shared" si="74"/>
        <v>93.3885732140584</v>
      </c>
      <c r="Q167" s="6">
        <f t="shared" si="75"/>
        <v>-17864.5</v>
      </c>
      <c r="R167" s="10">
        <f t="shared" si="76"/>
        <v>-1713.8999999999978</v>
      </c>
      <c r="S167" s="88">
        <f t="shared" si="79"/>
        <v>0</v>
      </c>
      <c r="T167" s="89">
        <f t="shared" si="84"/>
        <v>0</v>
      </c>
      <c r="U167" s="89">
        <f t="shared" si="81"/>
        <v>0</v>
      </c>
      <c r="V167" s="89">
        <f t="shared" si="82"/>
        <v>0</v>
      </c>
      <c r="W167" s="248">
        <f t="shared" si="77"/>
        <v>0</v>
      </c>
      <c r="X167" s="89">
        <f t="shared" si="78"/>
        <v>10.5</v>
      </c>
    </row>
    <row r="168" spans="1:24" s="150" customFormat="1" ht="25.5" customHeight="1">
      <c r="A168" s="48" t="s">
        <v>99</v>
      </c>
      <c r="B168" s="55">
        <v>41000000</v>
      </c>
      <c r="C168" s="10">
        <f>C169</f>
        <v>658.4</v>
      </c>
      <c r="D168" s="10">
        <f>D169</f>
        <v>968.6</v>
      </c>
      <c r="E168" s="6">
        <f t="shared" si="69"/>
        <v>23240.800000000003</v>
      </c>
      <c r="F168" s="6">
        <f t="shared" si="70"/>
        <v>2499.421845963246</v>
      </c>
      <c r="G168" s="10">
        <f>G169</f>
        <v>45898.8</v>
      </c>
      <c r="H168" s="10">
        <f t="shared" si="91"/>
        <v>42073.9</v>
      </c>
      <c r="I168" s="209">
        <f t="shared" si="91"/>
        <v>42073.9</v>
      </c>
      <c r="J168" s="10">
        <f t="shared" si="91"/>
        <v>25933.8</v>
      </c>
      <c r="K168" s="209">
        <f t="shared" si="91"/>
        <v>25923.3</v>
      </c>
      <c r="L168" s="10">
        <f t="shared" si="91"/>
        <v>24209.4</v>
      </c>
      <c r="M168" s="10" t="e">
        <f t="shared" si="91"/>
        <v>#REF!</v>
      </c>
      <c r="N168" s="62">
        <f t="shared" si="72"/>
        <v>52.745169808361005</v>
      </c>
      <c r="O168" s="6">
        <f t="shared" si="73"/>
        <v>57.54018524548473</v>
      </c>
      <c r="P168" s="62">
        <f t="shared" si="74"/>
        <v>93.3885732140584</v>
      </c>
      <c r="Q168" s="6">
        <f t="shared" si="75"/>
        <v>-17864.5</v>
      </c>
      <c r="R168" s="10">
        <f t="shared" si="76"/>
        <v>-1713.8999999999978</v>
      </c>
      <c r="S168" s="88">
        <f t="shared" si="79"/>
        <v>0</v>
      </c>
      <c r="T168" s="89">
        <f t="shared" si="84"/>
        <v>0</v>
      </c>
      <c r="U168" s="89">
        <f t="shared" si="81"/>
        <v>0</v>
      </c>
      <c r="V168" s="89">
        <f t="shared" si="82"/>
        <v>0</v>
      </c>
      <c r="W168" s="248">
        <f t="shared" si="77"/>
        <v>0</v>
      </c>
      <c r="X168" s="89">
        <f t="shared" si="78"/>
        <v>10.5</v>
      </c>
    </row>
    <row r="169" spans="1:24" s="150" customFormat="1" ht="19.5" customHeight="1">
      <c r="A169" s="61" t="s">
        <v>226</v>
      </c>
      <c r="B169" s="55">
        <v>41030000</v>
      </c>
      <c r="C169" s="10">
        <f>C170+C174+C173</f>
        <v>658.4</v>
      </c>
      <c r="D169" s="10">
        <f>D170+D174+D173</f>
        <v>968.6</v>
      </c>
      <c r="E169" s="6">
        <f t="shared" si="69"/>
        <v>23240.800000000003</v>
      </c>
      <c r="F169" s="6">
        <f t="shared" si="70"/>
        <v>2499.421845963246</v>
      </c>
      <c r="G169" s="10">
        <f aca="true" t="shared" si="92" ref="G169:M169">G170+G174+G173</f>
        <v>45898.8</v>
      </c>
      <c r="H169" s="10">
        <f t="shared" si="92"/>
        <v>42073.9</v>
      </c>
      <c r="I169" s="209">
        <f t="shared" si="92"/>
        <v>42073.9</v>
      </c>
      <c r="J169" s="10">
        <f t="shared" si="92"/>
        <v>25933.8</v>
      </c>
      <c r="K169" s="209">
        <f t="shared" si="92"/>
        <v>25923.3</v>
      </c>
      <c r="L169" s="10">
        <f t="shared" si="92"/>
        <v>24209.4</v>
      </c>
      <c r="M169" s="10" t="e">
        <f t="shared" si="92"/>
        <v>#REF!</v>
      </c>
      <c r="N169" s="62">
        <f t="shared" si="72"/>
        <v>52.745169808361005</v>
      </c>
      <c r="O169" s="6">
        <f t="shared" si="73"/>
        <v>57.54018524548473</v>
      </c>
      <c r="P169" s="62">
        <f t="shared" si="74"/>
        <v>93.3885732140584</v>
      </c>
      <c r="Q169" s="6">
        <f t="shared" si="75"/>
        <v>-17864.5</v>
      </c>
      <c r="R169" s="10">
        <f t="shared" si="76"/>
        <v>-1713.8999999999978</v>
      </c>
      <c r="S169" s="88">
        <f t="shared" si="79"/>
        <v>0</v>
      </c>
      <c r="T169" s="89">
        <f t="shared" si="84"/>
        <v>0</v>
      </c>
      <c r="U169" s="89">
        <f t="shared" si="81"/>
        <v>0</v>
      </c>
      <c r="V169" s="89">
        <f t="shared" si="82"/>
        <v>0</v>
      </c>
      <c r="W169" s="248">
        <f t="shared" si="77"/>
        <v>0</v>
      </c>
      <c r="X169" s="89">
        <f t="shared" si="78"/>
        <v>10.5</v>
      </c>
    </row>
    <row r="170" spans="1:24" s="92" customFormat="1" ht="26.25" customHeight="1">
      <c r="A170" s="29" t="s">
        <v>121</v>
      </c>
      <c r="B170" s="30">
        <v>41035000</v>
      </c>
      <c r="C170" s="7">
        <f>C171+C172</f>
        <v>658.4</v>
      </c>
      <c r="D170" s="7">
        <f>+D171+D172</f>
        <v>968.6</v>
      </c>
      <c r="E170" s="25">
        <f t="shared" si="69"/>
        <v>-755.6</v>
      </c>
      <c r="F170" s="25">
        <f t="shared" si="70"/>
        <v>21.99050175511047</v>
      </c>
      <c r="G170" s="7">
        <f aca="true" t="shared" si="93" ref="G170:M170">G171+G172</f>
        <v>270.8</v>
      </c>
      <c r="H170" s="7">
        <f t="shared" si="93"/>
        <v>248.2</v>
      </c>
      <c r="I170" s="219">
        <f t="shared" si="93"/>
        <v>248.2</v>
      </c>
      <c r="J170" s="7">
        <f t="shared" si="93"/>
        <v>305.8</v>
      </c>
      <c r="K170" s="219">
        <f t="shared" si="93"/>
        <v>295.3</v>
      </c>
      <c r="L170" s="7">
        <f t="shared" si="93"/>
        <v>213</v>
      </c>
      <c r="M170" s="7" t="e">
        <f t="shared" si="93"/>
        <v>#REF!</v>
      </c>
      <c r="N170" s="63">
        <f t="shared" si="72"/>
        <v>78.65583456425405</v>
      </c>
      <c r="O170" s="25">
        <f t="shared" si="73"/>
        <v>85.81788879935536</v>
      </c>
      <c r="P170" s="63">
        <f t="shared" si="74"/>
        <v>72.13003725025398</v>
      </c>
      <c r="Q170" s="25">
        <f t="shared" si="75"/>
        <v>-35.19999999999999</v>
      </c>
      <c r="R170" s="7">
        <f t="shared" si="76"/>
        <v>-82.30000000000001</v>
      </c>
      <c r="S170" s="88">
        <f t="shared" si="79"/>
        <v>0</v>
      </c>
      <c r="T170" s="89">
        <f t="shared" si="84"/>
        <v>0</v>
      </c>
      <c r="U170" s="89">
        <f t="shared" si="81"/>
        <v>0</v>
      </c>
      <c r="V170" s="89">
        <f t="shared" si="82"/>
        <v>0</v>
      </c>
      <c r="W170" s="248">
        <f t="shared" si="77"/>
        <v>0</v>
      </c>
      <c r="X170" s="89">
        <f t="shared" si="78"/>
        <v>10.5</v>
      </c>
    </row>
    <row r="171" spans="1:24" s="92" customFormat="1" ht="33" customHeight="1">
      <c r="A171" s="75" t="s">
        <v>302</v>
      </c>
      <c r="B171" s="30"/>
      <c r="C171" s="22">
        <v>500</v>
      </c>
      <c r="D171" s="22">
        <v>500</v>
      </c>
      <c r="E171" s="25">
        <f t="shared" si="69"/>
        <v>-500</v>
      </c>
      <c r="F171" s="241">
        <f t="shared" si="70"/>
        <v>0</v>
      </c>
      <c r="G171" s="22"/>
      <c r="H171" s="7">
        <f>ROUND(G171*$T$6,1)</f>
        <v>0</v>
      </c>
      <c r="I171" s="219">
        <f>ROUND((G171*$T$7+G171*$T$8),1)</f>
        <v>0</v>
      </c>
      <c r="J171" s="22"/>
      <c r="K171" s="220"/>
      <c r="L171" s="22"/>
      <c r="M171" s="3">
        <f>L171</f>
        <v>0</v>
      </c>
      <c r="N171" s="226" t="e">
        <f>L171/G171*100</f>
        <v>#DIV/0!</v>
      </c>
      <c r="O171" s="122" t="e">
        <f>L171/I171*100</f>
        <v>#DIV/0!</v>
      </c>
      <c r="P171" s="226" t="e">
        <f>L171/K171*100</f>
        <v>#DIV/0!</v>
      </c>
      <c r="Q171" s="122">
        <f>L171-I171</f>
        <v>0</v>
      </c>
      <c r="R171" s="227">
        <f>L171-K171</f>
        <v>0</v>
      </c>
      <c r="S171" s="88">
        <f t="shared" si="79"/>
        <v>0</v>
      </c>
      <c r="T171" s="89">
        <f t="shared" si="84"/>
        <v>0</v>
      </c>
      <c r="U171" s="89" t="e">
        <f t="shared" si="81"/>
        <v>#DIV/0!</v>
      </c>
      <c r="V171" s="89" t="e">
        <f t="shared" si="82"/>
        <v>#DIV/0!</v>
      </c>
      <c r="W171" s="248">
        <f t="shared" si="77"/>
        <v>0</v>
      </c>
      <c r="X171" s="89">
        <f t="shared" si="78"/>
        <v>0</v>
      </c>
    </row>
    <row r="172" spans="1:24" s="92" customFormat="1" ht="36" customHeight="1">
      <c r="A172" s="78" t="s">
        <v>155</v>
      </c>
      <c r="B172" s="77"/>
      <c r="C172" s="22">
        <v>158.4</v>
      </c>
      <c r="D172" s="7">
        <v>468.6</v>
      </c>
      <c r="E172" s="36">
        <f t="shared" si="69"/>
        <v>-255.60000000000002</v>
      </c>
      <c r="F172" s="36">
        <f t="shared" si="70"/>
        <v>45.45454545454545</v>
      </c>
      <c r="G172" s="22">
        <f>225.2+2+31.5+12.1</f>
        <v>270.8</v>
      </c>
      <c r="H172" s="22">
        <f>ROUND(G172*$T$6,1)</f>
        <v>248.2</v>
      </c>
      <c r="I172" s="220">
        <f>ROUND(G172*$T$7+G172*$T$8,1)</f>
        <v>248.2</v>
      </c>
      <c r="J172" s="22">
        <v>305.8</v>
      </c>
      <c r="K172" s="220">
        <v>295.3</v>
      </c>
      <c r="L172" s="22">
        <v>213</v>
      </c>
      <c r="M172" s="3" t="e">
        <f>L172-#REF!</f>
        <v>#REF!</v>
      </c>
      <c r="N172" s="65">
        <f t="shared" si="72"/>
        <v>78.65583456425405</v>
      </c>
      <c r="O172" s="36">
        <f t="shared" si="73"/>
        <v>85.81788879935536</v>
      </c>
      <c r="P172" s="65">
        <f t="shared" si="74"/>
        <v>72.13003725025398</v>
      </c>
      <c r="Q172" s="36">
        <f t="shared" si="75"/>
        <v>-35.19999999999999</v>
      </c>
      <c r="R172" s="22">
        <f t="shared" si="76"/>
        <v>-82.30000000000001</v>
      </c>
      <c r="S172" s="88">
        <f t="shared" si="79"/>
        <v>0</v>
      </c>
      <c r="T172" s="89">
        <f t="shared" si="84"/>
        <v>0</v>
      </c>
      <c r="U172" s="89">
        <f t="shared" si="81"/>
        <v>0</v>
      </c>
      <c r="V172" s="89">
        <f t="shared" si="82"/>
        <v>0</v>
      </c>
      <c r="W172" s="248">
        <f t="shared" si="77"/>
        <v>0</v>
      </c>
      <c r="X172" s="89">
        <f t="shared" si="78"/>
        <v>10.5</v>
      </c>
    </row>
    <row r="173" spans="1:24" s="92" customFormat="1" ht="60" customHeight="1">
      <c r="A173" s="29" t="s">
        <v>157</v>
      </c>
      <c r="B173" s="30">
        <v>410345000</v>
      </c>
      <c r="C173" s="7"/>
      <c r="D173" s="7"/>
      <c r="E173" s="25">
        <f>L173-D173</f>
        <v>23996.4</v>
      </c>
      <c r="F173" s="246" t="e">
        <f>L173/D173*100</f>
        <v>#DIV/0!</v>
      </c>
      <c r="G173" s="7">
        <v>19050</v>
      </c>
      <c r="H173" s="7">
        <f>ROUND(G173*$T$6,1)</f>
        <v>17462.5</v>
      </c>
      <c r="I173" s="219">
        <f>ROUND(G173*$T$7+G173*$T$8,1)</f>
        <v>17462.5</v>
      </c>
      <c r="J173" s="7">
        <v>19050</v>
      </c>
      <c r="K173" s="219">
        <v>19050</v>
      </c>
      <c r="L173" s="7">
        <v>23996.4</v>
      </c>
      <c r="M173" s="3" t="e">
        <f>L173-#REF!</f>
        <v>#REF!</v>
      </c>
      <c r="N173" s="63">
        <f>L173/G173*100</f>
        <v>125.96535433070868</v>
      </c>
      <c r="O173" s="25">
        <f>L173/I173*100</f>
        <v>137.4167501789549</v>
      </c>
      <c r="P173" s="63">
        <f>L173/K173*100</f>
        <v>125.96535433070868</v>
      </c>
      <c r="Q173" s="25">
        <f>L173-I173</f>
        <v>6533.9000000000015</v>
      </c>
      <c r="R173" s="7">
        <f>L173-K173</f>
        <v>4946.4000000000015</v>
      </c>
      <c r="S173" s="88">
        <f t="shared" si="79"/>
        <v>0</v>
      </c>
      <c r="T173" s="89">
        <f t="shared" si="84"/>
        <v>0</v>
      </c>
      <c r="U173" s="89">
        <f t="shared" si="81"/>
        <v>0</v>
      </c>
      <c r="V173" s="89">
        <f t="shared" si="82"/>
        <v>0</v>
      </c>
      <c r="W173" s="248">
        <f t="shared" si="77"/>
        <v>0</v>
      </c>
      <c r="X173" s="89">
        <f t="shared" si="78"/>
        <v>0</v>
      </c>
    </row>
    <row r="174" spans="1:24" s="92" customFormat="1" ht="321.75" customHeight="1">
      <c r="A174" s="39" t="s">
        <v>162</v>
      </c>
      <c r="B174" s="42">
        <v>41036600</v>
      </c>
      <c r="C174" s="7"/>
      <c r="D174" s="7"/>
      <c r="E174" s="25">
        <f t="shared" si="69"/>
        <v>0</v>
      </c>
      <c r="F174" s="14" t="e">
        <f t="shared" si="70"/>
        <v>#DIV/0!</v>
      </c>
      <c r="G174" s="7">
        <f>25027.4+1097.9+214.7+238</f>
        <v>26578.000000000004</v>
      </c>
      <c r="H174" s="7">
        <f>ROUND(G174*$T$6,1)</f>
        <v>24363.2</v>
      </c>
      <c r="I174" s="219">
        <f>ROUND(G174*$T$7+G174*$T$8,1)</f>
        <v>24363.2</v>
      </c>
      <c r="J174" s="7">
        <v>6578</v>
      </c>
      <c r="K174" s="219">
        <v>6578</v>
      </c>
      <c r="L174" s="7"/>
      <c r="M174" s="3" t="e">
        <f>L174-#REF!</f>
        <v>#REF!</v>
      </c>
      <c r="N174" s="52">
        <f t="shared" si="72"/>
        <v>0</v>
      </c>
      <c r="O174" s="14">
        <f t="shared" si="73"/>
        <v>0</v>
      </c>
      <c r="P174" s="52">
        <f t="shared" si="74"/>
        <v>0</v>
      </c>
      <c r="Q174" s="25">
        <f t="shared" si="75"/>
        <v>-24363.2</v>
      </c>
      <c r="R174" s="7">
        <f t="shared" si="76"/>
        <v>-6578</v>
      </c>
      <c r="S174" s="88">
        <f t="shared" si="79"/>
        <v>0</v>
      </c>
      <c r="T174" s="89">
        <f t="shared" si="84"/>
        <v>0</v>
      </c>
      <c r="U174" s="89">
        <f t="shared" si="81"/>
        <v>0</v>
      </c>
      <c r="V174" s="89">
        <f t="shared" si="82"/>
        <v>0</v>
      </c>
      <c r="W174" s="248">
        <f t="shared" si="77"/>
        <v>0</v>
      </c>
      <c r="X174" s="89">
        <f t="shared" si="78"/>
        <v>0</v>
      </c>
    </row>
    <row r="175" spans="1:24" s="150" customFormat="1" ht="22.5" customHeight="1">
      <c r="A175" s="61" t="s">
        <v>260</v>
      </c>
      <c r="B175" s="55">
        <v>50000000</v>
      </c>
      <c r="C175" s="10">
        <f>SUM(C176:C176)</f>
        <v>786</v>
      </c>
      <c r="D175" s="10">
        <f>SUM(D176:D176)</f>
        <v>13</v>
      </c>
      <c r="E175" s="6">
        <f t="shared" si="69"/>
        <v>5.800000000000001</v>
      </c>
      <c r="F175" s="6">
        <f t="shared" si="70"/>
        <v>144.6153846153846</v>
      </c>
      <c r="G175" s="10">
        <f aca="true" t="shared" si="94" ref="G175:M175">SUM(G176:G176)</f>
        <v>5361.4</v>
      </c>
      <c r="H175" s="10">
        <f t="shared" si="94"/>
        <v>4914.5</v>
      </c>
      <c r="I175" s="209">
        <f t="shared" si="94"/>
        <v>4914.5</v>
      </c>
      <c r="J175" s="10">
        <f t="shared" si="94"/>
        <v>905.6</v>
      </c>
      <c r="K175" s="209">
        <f t="shared" si="94"/>
        <v>803.9</v>
      </c>
      <c r="L175" s="10">
        <f t="shared" si="94"/>
        <v>18.8</v>
      </c>
      <c r="M175" s="10" t="e">
        <f t="shared" si="94"/>
        <v>#REF!</v>
      </c>
      <c r="N175" s="10">
        <f t="shared" si="72"/>
        <v>0.3506546797478271</v>
      </c>
      <c r="O175" s="6">
        <f t="shared" si="73"/>
        <v>0.382541458948011</v>
      </c>
      <c r="P175" s="10">
        <f t="shared" si="74"/>
        <v>2.338599328274661</v>
      </c>
      <c r="Q175" s="6">
        <f t="shared" si="75"/>
        <v>-4895.7</v>
      </c>
      <c r="R175" s="10">
        <f t="shared" si="76"/>
        <v>-785.1</v>
      </c>
      <c r="S175" s="88">
        <f t="shared" si="79"/>
        <v>0</v>
      </c>
      <c r="T175" s="89">
        <f t="shared" si="84"/>
        <v>0</v>
      </c>
      <c r="U175" s="89">
        <f t="shared" si="81"/>
        <v>0</v>
      </c>
      <c r="V175" s="89">
        <f t="shared" si="82"/>
        <v>0</v>
      </c>
      <c r="W175" s="248">
        <f t="shared" si="77"/>
        <v>0</v>
      </c>
      <c r="X175" s="89">
        <f t="shared" si="78"/>
        <v>101.70000000000005</v>
      </c>
    </row>
    <row r="176" spans="1:24" s="91" customFormat="1" ht="63.75" customHeight="1">
      <c r="A176" s="26" t="s">
        <v>308</v>
      </c>
      <c r="B176" s="27">
        <v>50110000</v>
      </c>
      <c r="C176" s="7">
        <v>786</v>
      </c>
      <c r="D176" s="7">
        <v>13</v>
      </c>
      <c r="E176" s="25">
        <f t="shared" si="69"/>
        <v>5.800000000000001</v>
      </c>
      <c r="F176" s="25">
        <f t="shared" si="70"/>
        <v>144.6153846153846</v>
      </c>
      <c r="G176" s="7">
        <v>5361.4</v>
      </c>
      <c r="H176" s="7">
        <f>ROUND(G176*$T$6,1)-0.1</f>
        <v>4914.5</v>
      </c>
      <c r="I176" s="219">
        <f>ROUND(G176*$T$7+G176*$T$8,1)-0.1</f>
        <v>4914.5</v>
      </c>
      <c r="J176" s="7">
        <v>905.6</v>
      </c>
      <c r="K176" s="219">
        <v>803.9</v>
      </c>
      <c r="L176" s="7">
        <v>18.8</v>
      </c>
      <c r="M176" s="3" t="e">
        <f>L176-#REF!</f>
        <v>#REF!</v>
      </c>
      <c r="N176" s="63">
        <f t="shared" si="72"/>
        <v>0.3506546797478271</v>
      </c>
      <c r="O176" s="25">
        <f t="shared" si="73"/>
        <v>0.382541458948011</v>
      </c>
      <c r="P176" s="63">
        <f t="shared" si="74"/>
        <v>2.338599328274661</v>
      </c>
      <c r="Q176" s="25">
        <f t="shared" si="75"/>
        <v>-4895.7</v>
      </c>
      <c r="R176" s="7">
        <f t="shared" si="76"/>
        <v>-785.1</v>
      </c>
      <c r="S176" s="88">
        <f t="shared" si="79"/>
        <v>0</v>
      </c>
      <c r="T176" s="89">
        <f t="shared" si="84"/>
        <v>0</v>
      </c>
      <c r="U176" s="89">
        <f t="shared" si="81"/>
        <v>0</v>
      </c>
      <c r="V176" s="89">
        <f t="shared" si="82"/>
        <v>0</v>
      </c>
      <c r="W176" s="248">
        <f t="shared" si="77"/>
        <v>0</v>
      </c>
      <c r="X176" s="89">
        <f t="shared" si="78"/>
        <v>101.70000000000005</v>
      </c>
    </row>
    <row r="177" spans="1:24" s="119" customFormat="1" ht="18.75" customHeight="1">
      <c r="A177" s="207" t="s">
        <v>283</v>
      </c>
      <c r="B177" s="211"/>
      <c r="C177" s="203">
        <f>C138+C149+C160+C167+C175</f>
        <v>71867.99999999999</v>
      </c>
      <c r="D177" s="209">
        <f>D138+D149+D160+D167+D175</f>
        <v>2875411.2000000007</v>
      </c>
      <c r="E177" s="209">
        <f>L177-D177</f>
        <v>473111.7999999989</v>
      </c>
      <c r="F177" s="209">
        <f>L177/D177*100</f>
        <v>116.45370929903865</v>
      </c>
      <c r="G177" s="209">
        <f aca="true" t="shared" si="95" ref="G177:M177">G138+G149+G160+G167+G175</f>
        <v>119693</v>
      </c>
      <c r="H177" s="209">
        <f t="shared" si="95"/>
        <v>109718.6</v>
      </c>
      <c r="I177" s="209">
        <f t="shared" si="95"/>
        <v>109718.6</v>
      </c>
      <c r="J177" s="209">
        <f t="shared" si="95"/>
        <v>85261.3</v>
      </c>
      <c r="K177" s="209">
        <f t="shared" si="95"/>
        <v>84984.7</v>
      </c>
      <c r="L177" s="209">
        <f t="shared" si="95"/>
        <v>3348522.9999999995</v>
      </c>
      <c r="M177" s="203" t="e">
        <f t="shared" si="95"/>
        <v>#REF!</v>
      </c>
      <c r="N177" s="209">
        <f>L177/G177*100</f>
        <v>2797.593008780797</v>
      </c>
      <c r="O177" s="203">
        <f>L177/I177*100</f>
        <v>3051.9191823446517</v>
      </c>
      <c r="P177" s="209">
        <f>L177/K177*100</f>
        <v>3940.1480501784436</v>
      </c>
      <c r="Q177" s="203">
        <f>L177-I177</f>
        <v>3238804.3999999994</v>
      </c>
      <c r="R177" s="209">
        <f>L177-K177</f>
        <v>3263538.2999999993</v>
      </c>
      <c r="S177" s="116"/>
      <c r="T177" s="117"/>
      <c r="U177" s="117"/>
      <c r="V177" s="117"/>
      <c r="W177" s="248">
        <f t="shared" si="77"/>
        <v>0</v>
      </c>
      <c r="X177" s="89">
        <f t="shared" si="78"/>
        <v>276.6000000000058</v>
      </c>
    </row>
    <row r="178" spans="1:24" s="224" customFormat="1" ht="42.75" customHeight="1">
      <c r="A178" s="212" t="s">
        <v>285</v>
      </c>
      <c r="B178" s="204"/>
      <c r="C178" s="203">
        <f>(C177-C167)</f>
        <v>71209.59999999999</v>
      </c>
      <c r="D178" s="209">
        <f>D177-D167</f>
        <v>2874442.6000000006</v>
      </c>
      <c r="E178" s="209">
        <f t="shared" si="69"/>
        <v>449870.99999999907</v>
      </c>
      <c r="F178" s="209">
        <f t="shared" si="70"/>
        <v>115.650721291147</v>
      </c>
      <c r="G178" s="209">
        <f>G177-G167</f>
        <v>73794.2</v>
      </c>
      <c r="H178" s="209">
        <f>H177-H167</f>
        <v>67644.70000000001</v>
      </c>
      <c r="I178" s="209">
        <f>I177-I167</f>
        <v>67644.70000000001</v>
      </c>
      <c r="J178" s="209">
        <f>J177-J167</f>
        <v>59327.5</v>
      </c>
      <c r="K178" s="209">
        <f>K177-K167</f>
        <v>59061.399999999994</v>
      </c>
      <c r="L178" s="209">
        <f>(L177-L167)</f>
        <v>3324313.5999999996</v>
      </c>
      <c r="M178" s="203" t="e">
        <f>(M177-M167)</f>
        <v>#REF!</v>
      </c>
      <c r="N178" s="210">
        <f t="shared" si="72"/>
        <v>4504.844012131034</v>
      </c>
      <c r="O178" s="203">
        <f t="shared" si="73"/>
        <v>4914.374075130792</v>
      </c>
      <c r="P178" s="210">
        <f t="shared" si="74"/>
        <v>5628.572299335945</v>
      </c>
      <c r="Q178" s="203">
        <f t="shared" si="75"/>
        <v>3256668.8999999994</v>
      </c>
      <c r="R178" s="209">
        <f t="shared" si="76"/>
        <v>3265252.1999999997</v>
      </c>
      <c r="S178" s="116">
        <f t="shared" si="79"/>
        <v>0</v>
      </c>
      <c r="T178" s="117">
        <f t="shared" si="84"/>
        <v>0</v>
      </c>
      <c r="U178" s="117">
        <f t="shared" si="81"/>
        <v>0</v>
      </c>
      <c r="V178" s="117">
        <f t="shared" si="82"/>
        <v>0</v>
      </c>
      <c r="W178" s="248">
        <f t="shared" si="77"/>
        <v>0</v>
      </c>
      <c r="X178" s="89">
        <f t="shared" si="78"/>
        <v>266.1000000000058</v>
      </c>
    </row>
    <row r="179" spans="1:24" s="224" customFormat="1" ht="24" customHeight="1">
      <c r="A179" s="213" t="s">
        <v>286</v>
      </c>
      <c r="B179" s="204"/>
      <c r="C179" s="203">
        <f>C160+C156+C158</f>
        <v>6989.799999999999</v>
      </c>
      <c r="D179" s="203">
        <f>D160+D156+D158</f>
        <v>49341.6</v>
      </c>
      <c r="E179" s="203">
        <f>L179-D179</f>
        <v>8149.5999999999985</v>
      </c>
      <c r="F179" s="203">
        <f>L179/D179*100</f>
        <v>116.51669179759068</v>
      </c>
      <c r="G179" s="209">
        <f aca="true" t="shared" si="96" ref="G179:M179">G160+G156+G158</f>
        <v>6599.2</v>
      </c>
      <c r="H179" s="209">
        <f t="shared" si="96"/>
        <v>6049.4</v>
      </c>
      <c r="I179" s="209">
        <f t="shared" si="96"/>
        <v>6049.4</v>
      </c>
      <c r="J179" s="209">
        <f t="shared" si="96"/>
        <v>3074</v>
      </c>
      <c r="K179" s="209">
        <f t="shared" si="96"/>
        <v>2912.3</v>
      </c>
      <c r="L179" s="209">
        <f t="shared" si="96"/>
        <v>57491.2</v>
      </c>
      <c r="M179" s="203" t="e">
        <f t="shared" si="96"/>
        <v>#REF!</v>
      </c>
      <c r="N179" s="203">
        <f>L179/G179*100</f>
        <v>871.1843859861801</v>
      </c>
      <c r="O179" s="203">
        <f>L179/I179*100</f>
        <v>950.3620193738221</v>
      </c>
      <c r="P179" s="203">
        <f>L179/K179*100</f>
        <v>1974.0823404182258</v>
      </c>
      <c r="Q179" s="203">
        <f>L179-I179</f>
        <v>51441.799999999996</v>
      </c>
      <c r="R179" s="203">
        <f>L179-K179</f>
        <v>54578.899999999994</v>
      </c>
      <c r="S179" s="116"/>
      <c r="T179" s="117"/>
      <c r="U179" s="117"/>
      <c r="V179" s="117"/>
      <c r="W179" s="248">
        <f t="shared" si="77"/>
        <v>0</v>
      </c>
      <c r="X179" s="89">
        <f t="shared" si="78"/>
        <v>161.69999999999982</v>
      </c>
    </row>
    <row r="180" spans="1:24" s="225" customFormat="1" ht="36.75" customHeight="1">
      <c r="A180" s="214" t="s">
        <v>261</v>
      </c>
      <c r="B180" s="211"/>
      <c r="C180" s="203">
        <f>C136+C177</f>
        <v>2355111.4</v>
      </c>
      <c r="D180" s="209">
        <f>D136+D177</f>
        <v>5577160.4759</v>
      </c>
      <c r="E180" s="209">
        <f t="shared" si="69"/>
        <v>-305475.87590000033</v>
      </c>
      <c r="F180" s="209">
        <f t="shared" si="70"/>
        <v>94.52273469232199</v>
      </c>
      <c r="G180" s="209">
        <f aca="true" t="shared" si="97" ref="G180:M180">G136+G177</f>
        <v>2857713.55</v>
      </c>
      <c r="H180" s="209">
        <f t="shared" si="97"/>
        <v>2619570.8000000003</v>
      </c>
      <c r="I180" s="209">
        <f t="shared" si="97"/>
        <v>2619570.8000000003</v>
      </c>
      <c r="J180" s="209">
        <f t="shared" si="97"/>
        <v>2271715.6</v>
      </c>
      <c r="K180" s="209">
        <f t="shared" si="97"/>
        <v>2167181.3000000003</v>
      </c>
      <c r="L180" s="209">
        <f t="shared" si="97"/>
        <v>5271684.6</v>
      </c>
      <c r="M180" s="203" t="e">
        <f t="shared" si="97"/>
        <v>#REF!</v>
      </c>
      <c r="N180" s="209">
        <f t="shared" si="72"/>
        <v>184.4721140787536</v>
      </c>
      <c r="O180" s="203">
        <f t="shared" si="73"/>
        <v>201.2423027466942</v>
      </c>
      <c r="P180" s="209">
        <f t="shared" si="74"/>
        <v>243.25074233521667</v>
      </c>
      <c r="Q180" s="203">
        <f>L180-I180</f>
        <v>2652113.7999999993</v>
      </c>
      <c r="R180" s="209">
        <f t="shared" si="76"/>
        <v>3104503.2999999993</v>
      </c>
      <c r="S180" s="116">
        <f t="shared" si="79"/>
        <v>0</v>
      </c>
      <c r="T180" s="117">
        <f t="shared" si="84"/>
        <v>0</v>
      </c>
      <c r="U180" s="117">
        <f t="shared" si="81"/>
        <v>0</v>
      </c>
      <c r="V180" s="117">
        <f t="shared" si="82"/>
        <v>0</v>
      </c>
      <c r="W180" s="248">
        <f t="shared" si="77"/>
        <v>0</v>
      </c>
      <c r="X180" s="89">
        <f t="shared" si="78"/>
        <v>104534.29999999981</v>
      </c>
    </row>
    <row r="181" spans="1:24" s="150" customFormat="1" ht="19.5" customHeight="1">
      <c r="A181" s="179"/>
      <c r="B181" s="180"/>
      <c r="C181" s="11"/>
      <c r="D181" s="11"/>
      <c r="E181" s="11"/>
      <c r="F181" s="101"/>
      <c r="G181" s="11"/>
      <c r="H181" s="11"/>
      <c r="I181" s="221"/>
      <c r="J181" s="102"/>
      <c r="K181" s="221"/>
      <c r="L181" s="11"/>
      <c r="M181" s="11"/>
      <c r="N181" s="11"/>
      <c r="O181" s="11"/>
      <c r="P181" s="11"/>
      <c r="Q181" s="11"/>
      <c r="R181" s="11"/>
      <c r="S181" s="88">
        <f t="shared" si="79"/>
        <v>0</v>
      </c>
      <c r="T181" s="89">
        <f t="shared" si="84"/>
        <v>0</v>
      </c>
      <c r="U181" s="89" t="e">
        <f t="shared" si="81"/>
        <v>#DIV/0!</v>
      </c>
      <c r="V181" s="89" t="e">
        <f t="shared" si="82"/>
        <v>#DIV/0!</v>
      </c>
      <c r="W181" s="248">
        <f t="shared" si="77"/>
        <v>0</v>
      </c>
      <c r="X181" s="89">
        <f t="shared" si="78"/>
        <v>0</v>
      </c>
    </row>
    <row r="182" spans="1:18" ht="16.5">
      <c r="A182" s="809"/>
      <c r="B182" s="809"/>
      <c r="C182" s="809"/>
      <c r="D182" s="809"/>
      <c r="E182" s="809"/>
      <c r="F182" s="809"/>
      <c r="G182" s="809"/>
      <c r="H182" s="809"/>
      <c r="M182" s="125"/>
      <c r="N182" s="125"/>
      <c r="O182" s="125"/>
      <c r="P182" s="125"/>
      <c r="Q182" s="125"/>
      <c r="R182" s="125"/>
    </row>
    <row r="183" spans="1:18" ht="16.5">
      <c r="A183" s="809"/>
      <c r="B183" s="809"/>
      <c r="C183" s="809"/>
      <c r="D183" s="809"/>
      <c r="E183" s="809"/>
      <c r="F183" s="809"/>
      <c r="G183" s="809"/>
      <c r="H183" s="809"/>
      <c r="M183" s="125"/>
      <c r="N183" s="125"/>
      <c r="O183" s="125"/>
      <c r="P183" s="125"/>
      <c r="Q183" s="125"/>
      <c r="R183" s="125"/>
    </row>
    <row r="184" spans="1:18" ht="16.5">
      <c r="A184" s="809"/>
      <c r="B184" s="809"/>
      <c r="C184" s="809"/>
      <c r="D184" s="809"/>
      <c r="E184" s="809"/>
      <c r="F184" s="809"/>
      <c r="G184" s="809"/>
      <c r="H184" s="809"/>
      <c r="M184" s="125"/>
      <c r="N184" s="125"/>
      <c r="O184" s="125"/>
      <c r="P184" s="125"/>
      <c r="Q184" s="125"/>
      <c r="R184" s="125"/>
    </row>
    <row r="185" spans="1:18" ht="16.5">
      <c r="A185" s="809"/>
      <c r="B185" s="809"/>
      <c r="C185" s="809"/>
      <c r="D185" s="809"/>
      <c r="E185" s="809"/>
      <c r="F185" s="809"/>
      <c r="G185" s="809"/>
      <c r="H185" s="809"/>
      <c r="M185" s="125"/>
      <c r="N185" s="125"/>
      <c r="O185" s="125"/>
      <c r="P185" s="125"/>
      <c r="Q185" s="125"/>
      <c r="R185" s="125"/>
    </row>
    <row r="186" spans="1:18" ht="16.5">
      <c r="A186" s="809"/>
      <c r="B186" s="809"/>
      <c r="C186" s="809"/>
      <c r="D186" s="809"/>
      <c r="E186" s="809"/>
      <c r="F186" s="809"/>
      <c r="G186" s="809"/>
      <c r="H186" s="809"/>
      <c r="M186" s="125"/>
      <c r="N186" s="125"/>
      <c r="O186" s="125"/>
      <c r="P186" s="125"/>
      <c r="Q186" s="125"/>
      <c r="R186" s="125"/>
    </row>
    <row r="187" spans="1:18" ht="16.5">
      <c r="A187" s="809"/>
      <c r="B187" s="809"/>
      <c r="C187" s="809"/>
      <c r="D187" s="809"/>
      <c r="E187" s="809"/>
      <c r="F187" s="809"/>
      <c r="G187" s="809"/>
      <c r="H187" s="809"/>
      <c r="M187" s="125"/>
      <c r="N187" s="125"/>
      <c r="O187" s="125"/>
      <c r="P187" s="125"/>
      <c r="Q187" s="125"/>
      <c r="R187" s="125"/>
    </row>
    <row r="188" spans="1:18" ht="16.5">
      <c r="A188" s="809"/>
      <c r="B188" s="809"/>
      <c r="C188" s="809"/>
      <c r="D188" s="809"/>
      <c r="E188" s="809"/>
      <c r="F188" s="809"/>
      <c r="G188" s="809"/>
      <c r="H188" s="809"/>
      <c r="M188" s="125"/>
      <c r="N188" s="125"/>
      <c r="O188" s="125"/>
      <c r="P188" s="125"/>
      <c r="Q188" s="125"/>
      <c r="R188" s="125"/>
    </row>
    <row r="189" spans="1:18" ht="16.5">
      <c r="A189" s="809"/>
      <c r="B189" s="809"/>
      <c r="C189" s="809"/>
      <c r="D189" s="809"/>
      <c r="E189" s="809"/>
      <c r="F189" s="809"/>
      <c r="G189" s="809"/>
      <c r="H189" s="809"/>
      <c r="M189" s="125"/>
      <c r="N189" s="125"/>
      <c r="O189" s="125"/>
      <c r="P189" s="125"/>
      <c r="Q189" s="125"/>
      <c r="R189" s="125"/>
    </row>
    <row r="190" spans="1:18" ht="16.5">
      <c r="A190" s="809"/>
      <c r="B190" s="809"/>
      <c r="C190" s="809"/>
      <c r="D190" s="809"/>
      <c r="E190" s="809"/>
      <c r="F190" s="809"/>
      <c r="G190" s="809"/>
      <c r="H190" s="809"/>
      <c r="M190" s="125"/>
      <c r="N190" s="125"/>
      <c r="O190" s="125"/>
      <c r="P190" s="125"/>
      <c r="Q190" s="125"/>
      <c r="R190" s="125"/>
    </row>
    <row r="191" spans="1:18" ht="16.5">
      <c r="A191" s="809"/>
      <c r="B191" s="809"/>
      <c r="C191" s="809"/>
      <c r="D191" s="809"/>
      <c r="E191" s="809"/>
      <c r="F191" s="809"/>
      <c r="G191" s="809"/>
      <c r="H191" s="809"/>
      <c r="M191" s="125"/>
      <c r="N191" s="125"/>
      <c r="O191" s="125"/>
      <c r="P191" s="125"/>
      <c r="Q191" s="125"/>
      <c r="R191" s="125"/>
    </row>
    <row r="192" spans="1:18" ht="16.5">
      <c r="A192" s="809"/>
      <c r="B192" s="809"/>
      <c r="C192" s="809"/>
      <c r="D192" s="809"/>
      <c r="E192" s="809"/>
      <c r="F192" s="809"/>
      <c r="G192" s="809"/>
      <c r="H192" s="809"/>
      <c r="M192" s="125"/>
      <c r="N192" s="125"/>
      <c r="O192" s="125"/>
      <c r="P192" s="125"/>
      <c r="Q192" s="125"/>
      <c r="R192" s="125"/>
    </row>
    <row r="193" spans="1:18" ht="16.5">
      <c r="A193" s="809"/>
      <c r="B193" s="809"/>
      <c r="C193" s="809"/>
      <c r="D193" s="809"/>
      <c r="E193" s="809"/>
      <c r="F193" s="809"/>
      <c r="G193" s="809"/>
      <c r="H193" s="809"/>
      <c r="M193" s="125"/>
      <c r="N193" s="125"/>
      <c r="O193" s="125"/>
      <c r="P193" s="125"/>
      <c r="Q193" s="125"/>
      <c r="R193" s="125"/>
    </row>
    <row r="194" spans="1:18" ht="16.5">
      <c r="A194" s="809"/>
      <c r="B194" s="809"/>
      <c r="C194" s="809"/>
      <c r="D194" s="809"/>
      <c r="E194" s="809"/>
      <c r="F194" s="809"/>
      <c r="G194" s="809"/>
      <c r="H194" s="809"/>
      <c r="M194" s="125"/>
      <c r="N194" s="125"/>
      <c r="O194" s="125"/>
      <c r="P194" s="125"/>
      <c r="Q194" s="125"/>
      <c r="R194" s="125"/>
    </row>
    <row r="195" spans="1:18" ht="16.5">
      <c r="A195" s="809"/>
      <c r="B195" s="809"/>
      <c r="C195" s="809"/>
      <c r="D195" s="809"/>
      <c r="E195" s="809"/>
      <c r="F195" s="809"/>
      <c r="G195" s="809"/>
      <c r="H195" s="809"/>
      <c r="M195" s="125"/>
      <c r="N195" s="125"/>
      <c r="O195" s="125"/>
      <c r="P195" s="125"/>
      <c r="Q195" s="125"/>
      <c r="R195" s="125"/>
    </row>
    <row r="196" spans="1:18" ht="16.5">
      <c r="A196" s="809"/>
      <c r="B196" s="809"/>
      <c r="C196" s="809"/>
      <c r="D196" s="809"/>
      <c r="E196" s="809"/>
      <c r="F196" s="809"/>
      <c r="G196" s="809"/>
      <c r="H196" s="809"/>
      <c r="M196" s="125"/>
      <c r="N196" s="125"/>
      <c r="O196" s="125"/>
      <c r="P196" s="125"/>
      <c r="Q196" s="125"/>
      <c r="R196" s="125"/>
    </row>
    <row r="197" spans="1:18" ht="16.5">
      <c r="A197" s="809"/>
      <c r="B197" s="809"/>
      <c r="C197" s="809"/>
      <c r="D197" s="809"/>
      <c r="E197" s="809"/>
      <c r="F197" s="809"/>
      <c r="G197" s="809"/>
      <c r="H197" s="809"/>
      <c r="M197" s="125"/>
      <c r="N197" s="125"/>
      <c r="O197" s="125"/>
      <c r="P197" s="125"/>
      <c r="Q197" s="125"/>
      <c r="R197" s="125"/>
    </row>
    <row r="198" spans="1:18" ht="16.5">
      <c r="A198" s="809"/>
      <c r="B198" s="809"/>
      <c r="C198" s="809"/>
      <c r="D198" s="809"/>
      <c r="E198" s="809"/>
      <c r="F198" s="809"/>
      <c r="G198" s="809"/>
      <c r="H198" s="809"/>
      <c r="M198" s="125"/>
      <c r="N198" s="125"/>
      <c r="O198" s="125"/>
      <c r="P198" s="125"/>
      <c r="Q198" s="125"/>
      <c r="R198" s="125"/>
    </row>
    <row r="199" spans="1:18" ht="16.5">
      <c r="A199" s="809"/>
      <c r="B199" s="809"/>
      <c r="C199" s="809"/>
      <c r="D199" s="809"/>
      <c r="E199" s="809"/>
      <c r="F199" s="809"/>
      <c r="G199" s="809"/>
      <c r="H199" s="809"/>
      <c r="M199" s="125"/>
      <c r="N199" s="125"/>
      <c r="O199" s="125"/>
      <c r="P199" s="125"/>
      <c r="Q199" s="125"/>
      <c r="R199" s="125"/>
    </row>
    <row r="200" spans="1:18" ht="16.5">
      <c r="A200" s="809"/>
      <c r="B200" s="809"/>
      <c r="C200" s="809"/>
      <c r="D200" s="809"/>
      <c r="E200" s="809"/>
      <c r="F200" s="809"/>
      <c r="G200" s="809"/>
      <c r="H200" s="809"/>
      <c r="M200" s="125"/>
      <c r="N200" s="125"/>
      <c r="O200" s="125"/>
      <c r="P200" s="125"/>
      <c r="Q200" s="125"/>
      <c r="R200" s="125"/>
    </row>
    <row r="201" spans="1:18" ht="16.5">
      <c r="A201" s="809"/>
      <c r="B201" s="809"/>
      <c r="C201" s="809"/>
      <c r="D201" s="809"/>
      <c r="E201" s="809"/>
      <c r="F201" s="809"/>
      <c r="G201" s="809"/>
      <c r="H201" s="809"/>
      <c r="M201" s="125"/>
      <c r="N201" s="125"/>
      <c r="O201" s="125"/>
      <c r="P201" s="125"/>
      <c r="Q201" s="125"/>
      <c r="R201" s="125"/>
    </row>
    <row r="202" spans="1:18" ht="16.5">
      <c r="A202" s="809"/>
      <c r="B202" s="809"/>
      <c r="C202" s="809"/>
      <c r="D202" s="809"/>
      <c r="E202" s="809"/>
      <c r="F202" s="809"/>
      <c r="G202" s="809"/>
      <c r="H202" s="809"/>
      <c r="M202" s="125"/>
      <c r="N202" s="125"/>
      <c r="O202" s="125"/>
      <c r="P202" s="125"/>
      <c r="Q202" s="125"/>
      <c r="R202" s="125"/>
    </row>
    <row r="203" spans="1:18" ht="16.5">
      <c r="A203" s="809"/>
      <c r="B203" s="809"/>
      <c r="C203" s="809"/>
      <c r="D203" s="809"/>
      <c r="E203" s="809"/>
      <c r="F203" s="809"/>
      <c r="G203" s="809"/>
      <c r="H203" s="809"/>
      <c r="M203" s="125"/>
      <c r="N203" s="125"/>
      <c r="O203" s="125"/>
      <c r="P203" s="125"/>
      <c r="Q203" s="125"/>
      <c r="R203" s="125"/>
    </row>
    <row r="204" spans="1:18" ht="16.5">
      <c r="A204" s="809"/>
      <c r="B204" s="809"/>
      <c r="C204" s="809"/>
      <c r="D204" s="809"/>
      <c r="E204" s="809"/>
      <c r="F204" s="809"/>
      <c r="G204" s="809"/>
      <c r="H204" s="809"/>
      <c r="M204" s="125"/>
      <c r="N204" s="125"/>
      <c r="O204" s="125"/>
      <c r="P204" s="125"/>
      <c r="Q204" s="125"/>
      <c r="R204" s="125"/>
    </row>
    <row r="205" spans="1:18" ht="16.5">
      <c r="A205" s="809"/>
      <c r="B205" s="809"/>
      <c r="C205" s="809"/>
      <c r="D205" s="809"/>
      <c r="E205" s="809"/>
      <c r="F205" s="809"/>
      <c r="G205" s="809"/>
      <c r="H205" s="809"/>
      <c r="M205" s="125"/>
      <c r="N205" s="125"/>
      <c r="O205" s="125"/>
      <c r="P205" s="125"/>
      <c r="Q205" s="125"/>
      <c r="R205" s="125"/>
    </row>
    <row r="206" spans="1:18" ht="16.5">
      <c r="A206" s="809"/>
      <c r="B206" s="809"/>
      <c r="C206" s="809"/>
      <c r="D206" s="809"/>
      <c r="E206" s="809"/>
      <c r="F206" s="809"/>
      <c r="G206" s="809"/>
      <c r="H206" s="809"/>
      <c r="M206" s="125"/>
      <c r="N206" s="125"/>
      <c r="O206" s="125"/>
      <c r="P206" s="125"/>
      <c r="Q206" s="125"/>
      <c r="R206" s="125"/>
    </row>
    <row r="207" spans="1:18" ht="16.5">
      <c r="A207" s="809"/>
      <c r="B207" s="809"/>
      <c r="C207" s="809"/>
      <c r="D207" s="809"/>
      <c r="E207" s="809"/>
      <c r="F207" s="809"/>
      <c r="G207" s="809"/>
      <c r="H207" s="809"/>
      <c r="M207" s="125"/>
      <c r="N207" s="125"/>
      <c r="O207" s="125"/>
      <c r="P207" s="125"/>
      <c r="Q207" s="125"/>
      <c r="R207" s="125"/>
    </row>
    <row r="208" spans="13:18" ht="18.75">
      <c r="M208" s="125"/>
      <c r="N208" s="125"/>
      <c r="O208" s="125"/>
      <c r="P208" s="125"/>
      <c r="Q208" s="125"/>
      <c r="R208" s="125"/>
    </row>
    <row r="209" spans="13:18" ht="18.75">
      <c r="M209" s="125"/>
      <c r="N209" s="125"/>
      <c r="O209" s="125"/>
      <c r="P209" s="125"/>
      <c r="Q209" s="125"/>
      <c r="R209" s="125"/>
    </row>
    <row r="210" spans="13:18" ht="18.75">
      <c r="M210" s="125"/>
      <c r="N210" s="125"/>
      <c r="O210" s="125"/>
      <c r="P210" s="125"/>
      <c r="Q210" s="125"/>
      <c r="R210" s="125"/>
    </row>
    <row r="211" spans="13:18" ht="18.75">
      <c r="M211" s="125"/>
      <c r="N211" s="125"/>
      <c r="O211" s="125"/>
      <c r="P211" s="125"/>
      <c r="Q211" s="125"/>
      <c r="R211" s="125"/>
    </row>
    <row r="212" spans="13:18" ht="18.75">
      <c r="M212" s="125"/>
      <c r="N212" s="125"/>
      <c r="O212" s="125"/>
      <c r="P212" s="125"/>
      <c r="Q212" s="125"/>
      <c r="R212" s="125"/>
    </row>
    <row r="213" spans="13:18" ht="18.75">
      <c r="M213" s="125"/>
      <c r="N213" s="125"/>
      <c r="O213" s="125"/>
      <c r="P213" s="125"/>
      <c r="Q213" s="125"/>
      <c r="R213" s="125"/>
    </row>
    <row r="214" spans="13:18" ht="18.75">
      <c r="M214" s="125"/>
      <c r="N214" s="125"/>
      <c r="O214" s="125"/>
      <c r="P214" s="125"/>
      <c r="Q214" s="125"/>
      <c r="R214" s="125"/>
    </row>
    <row r="215" spans="13:18" ht="18.75">
      <c r="M215" s="125"/>
      <c r="N215" s="125"/>
      <c r="O215" s="125"/>
      <c r="P215" s="125"/>
      <c r="Q215" s="125"/>
      <c r="R215" s="125"/>
    </row>
    <row r="216" spans="13:18" ht="18.75">
      <c r="M216" s="125"/>
      <c r="N216" s="125"/>
      <c r="O216" s="125"/>
      <c r="P216" s="125"/>
      <c r="Q216" s="125"/>
      <c r="R216" s="125"/>
    </row>
    <row r="217" spans="13:18" ht="18.75">
      <c r="M217" s="125"/>
      <c r="N217" s="125"/>
      <c r="O217" s="125"/>
      <c r="P217" s="125"/>
      <c r="Q217" s="125"/>
      <c r="R217" s="125"/>
    </row>
    <row r="218" spans="13:18" ht="18.75">
      <c r="M218" s="125"/>
      <c r="N218" s="125"/>
      <c r="O218" s="125"/>
      <c r="P218" s="125"/>
      <c r="Q218" s="125"/>
      <c r="R218" s="125"/>
    </row>
    <row r="219" spans="13:18" ht="18.75">
      <c r="M219" s="125"/>
      <c r="N219" s="125"/>
      <c r="O219" s="125"/>
      <c r="P219" s="125"/>
      <c r="Q219" s="125"/>
      <c r="R219" s="125"/>
    </row>
    <row r="220" spans="13:18" ht="18.75">
      <c r="M220" s="125"/>
      <c r="N220" s="125"/>
      <c r="O220" s="125"/>
      <c r="P220" s="125"/>
      <c r="Q220" s="125"/>
      <c r="R220" s="125"/>
    </row>
    <row r="221" spans="13:18" ht="18.75">
      <c r="M221" s="125"/>
      <c r="N221" s="125"/>
      <c r="O221" s="125"/>
      <c r="P221" s="125"/>
      <c r="Q221" s="125"/>
      <c r="R221" s="125"/>
    </row>
    <row r="222" spans="13:18" ht="18.75">
      <c r="M222" s="125"/>
      <c r="N222" s="125"/>
      <c r="O222" s="125"/>
      <c r="P222" s="125"/>
      <c r="Q222" s="125"/>
      <c r="R222" s="125"/>
    </row>
    <row r="223" spans="13:18" ht="18.75">
      <c r="M223" s="125"/>
      <c r="N223" s="125"/>
      <c r="O223" s="125"/>
      <c r="P223" s="125"/>
      <c r="Q223" s="125"/>
      <c r="R223" s="125"/>
    </row>
    <row r="224" spans="13:18" ht="18.75">
      <c r="M224" s="125"/>
      <c r="N224" s="125"/>
      <c r="O224" s="125"/>
      <c r="P224" s="125"/>
      <c r="Q224" s="125"/>
      <c r="R224" s="125"/>
    </row>
    <row r="225" spans="13:18" ht="18.75">
      <c r="M225" s="125"/>
      <c r="N225" s="125"/>
      <c r="O225" s="125"/>
      <c r="P225" s="125"/>
      <c r="Q225" s="125"/>
      <c r="R225" s="125"/>
    </row>
    <row r="226" spans="13:18" ht="18.75">
      <c r="M226" s="125"/>
      <c r="N226" s="125"/>
      <c r="O226" s="125"/>
      <c r="P226" s="125"/>
      <c r="Q226" s="125"/>
      <c r="R226" s="125"/>
    </row>
    <row r="227" spans="13:18" ht="18.75">
      <c r="M227" s="125"/>
      <c r="N227" s="125"/>
      <c r="O227" s="125"/>
      <c r="P227" s="125"/>
      <c r="Q227" s="125"/>
      <c r="R227" s="125"/>
    </row>
    <row r="228" spans="13:18" ht="18.75">
      <c r="M228" s="125"/>
      <c r="N228" s="125"/>
      <c r="O228" s="125"/>
      <c r="P228" s="125"/>
      <c r="Q228" s="125"/>
      <c r="R228" s="125"/>
    </row>
    <row r="229" spans="13:18" ht="18.75">
      <c r="M229" s="125"/>
      <c r="N229" s="125"/>
      <c r="O229" s="125"/>
      <c r="P229" s="125"/>
      <c r="Q229" s="125"/>
      <c r="R229" s="125"/>
    </row>
    <row r="230" spans="13:18" ht="18.75">
      <c r="M230" s="125"/>
      <c r="N230" s="125"/>
      <c r="O230" s="125"/>
      <c r="P230" s="125"/>
      <c r="Q230" s="125"/>
      <c r="R230" s="125"/>
    </row>
    <row r="231" spans="13:18" ht="18.75">
      <c r="M231" s="125"/>
      <c r="N231" s="125"/>
      <c r="O231" s="125"/>
      <c r="P231" s="125"/>
      <c r="Q231" s="125"/>
      <c r="R231" s="125"/>
    </row>
    <row r="232" spans="13:18" ht="18.75">
      <c r="M232" s="125"/>
      <c r="N232" s="125"/>
      <c r="O232" s="125"/>
      <c r="P232" s="125"/>
      <c r="Q232" s="125"/>
      <c r="R232" s="125"/>
    </row>
    <row r="233" spans="13:18" ht="18.75">
      <c r="M233" s="125"/>
      <c r="N233" s="125"/>
      <c r="O233" s="125"/>
      <c r="P233" s="125"/>
      <c r="Q233" s="125"/>
      <c r="R233" s="125"/>
    </row>
    <row r="234" spans="13:18" ht="18.75">
      <c r="M234" s="125"/>
      <c r="N234" s="125"/>
      <c r="O234" s="125"/>
      <c r="P234" s="125"/>
      <c r="Q234" s="125"/>
      <c r="R234" s="125"/>
    </row>
    <row r="235" spans="13:18" ht="18.75">
      <c r="M235" s="125"/>
      <c r="N235" s="125"/>
      <c r="O235" s="125"/>
      <c r="P235" s="125"/>
      <c r="Q235" s="125"/>
      <c r="R235" s="125"/>
    </row>
    <row r="236" spans="13:18" ht="18.75">
      <c r="M236" s="125"/>
      <c r="N236" s="125"/>
      <c r="O236" s="125"/>
      <c r="P236" s="125"/>
      <c r="Q236" s="125"/>
      <c r="R236" s="125"/>
    </row>
    <row r="237" spans="13:18" ht="18.75">
      <c r="M237" s="125"/>
      <c r="N237" s="125"/>
      <c r="O237" s="125"/>
      <c r="P237" s="125"/>
      <c r="Q237" s="125"/>
      <c r="R237" s="125"/>
    </row>
    <row r="238" spans="13:18" ht="18.75">
      <c r="M238" s="125"/>
      <c r="N238" s="125"/>
      <c r="O238" s="125"/>
      <c r="P238" s="125"/>
      <c r="Q238" s="125"/>
      <c r="R238" s="125"/>
    </row>
    <row r="239" spans="13:18" ht="18.75">
      <c r="M239" s="125"/>
      <c r="N239" s="125"/>
      <c r="O239" s="125"/>
      <c r="P239" s="125"/>
      <c r="Q239" s="125"/>
      <c r="R239" s="125"/>
    </row>
    <row r="240" spans="13:18" ht="18.75">
      <c r="M240" s="125"/>
      <c r="N240" s="125"/>
      <c r="O240" s="125"/>
      <c r="P240" s="125"/>
      <c r="Q240" s="125"/>
      <c r="R240" s="125"/>
    </row>
    <row r="241" spans="13:18" ht="18.75">
      <c r="M241" s="125"/>
      <c r="N241" s="125"/>
      <c r="O241" s="125"/>
      <c r="P241" s="125"/>
      <c r="Q241" s="125"/>
      <c r="R241" s="125"/>
    </row>
    <row r="242" spans="13:18" ht="18.75">
      <c r="M242" s="125"/>
      <c r="N242" s="125"/>
      <c r="O242" s="125"/>
      <c r="P242" s="125"/>
      <c r="Q242" s="125"/>
      <c r="R242" s="125"/>
    </row>
    <row r="243" spans="13:18" ht="18.75">
      <c r="M243" s="125"/>
      <c r="N243" s="125"/>
      <c r="O243" s="125"/>
      <c r="P243" s="125"/>
      <c r="Q243" s="125"/>
      <c r="R243" s="125"/>
    </row>
    <row r="244" spans="13:18" ht="18.75">
      <c r="M244" s="125"/>
      <c r="N244" s="125"/>
      <c r="O244" s="125"/>
      <c r="P244" s="125"/>
      <c r="Q244" s="125"/>
      <c r="R244" s="125"/>
    </row>
    <row r="245" spans="13:18" ht="18.75">
      <c r="M245" s="125"/>
      <c r="N245" s="125"/>
      <c r="O245" s="125"/>
      <c r="P245" s="125"/>
      <c r="Q245" s="125"/>
      <c r="R245" s="125"/>
    </row>
    <row r="246" spans="13:18" ht="18.75">
      <c r="M246" s="125"/>
      <c r="N246" s="125"/>
      <c r="O246" s="125"/>
      <c r="P246" s="125"/>
      <c r="Q246" s="125"/>
      <c r="R246" s="125"/>
    </row>
    <row r="247" spans="13:18" ht="18.75">
      <c r="M247" s="125"/>
      <c r="N247" s="125"/>
      <c r="O247" s="125"/>
      <c r="P247" s="125"/>
      <c r="Q247" s="125"/>
      <c r="R247" s="125"/>
    </row>
    <row r="248" spans="13:18" ht="18.75">
      <c r="M248" s="125"/>
      <c r="N248" s="125"/>
      <c r="O248" s="125"/>
      <c r="P248" s="125"/>
      <c r="Q248" s="125"/>
      <c r="R248" s="125"/>
    </row>
    <row r="249" spans="13:18" ht="18.75">
      <c r="M249" s="125"/>
      <c r="N249" s="125"/>
      <c r="O249" s="125"/>
      <c r="P249" s="125"/>
      <c r="Q249" s="125"/>
      <c r="R249" s="125"/>
    </row>
    <row r="250" spans="13:18" ht="18.75">
      <c r="M250" s="125"/>
      <c r="N250" s="125"/>
      <c r="O250" s="125"/>
      <c r="P250" s="125"/>
      <c r="Q250" s="125"/>
      <c r="R250" s="125"/>
    </row>
    <row r="251" spans="13:18" ht="18.75">
      <c r="M251" s="125"/>
      <c r="N251" s="125"/>
      <c r="O251" s="125"/>
      <c r="P251" s="125"/>
      <c r="Q251" s="125"/>
      <c r="R251" s="125"/>
    </row>
    <row r="252" spans="13:18" ht="18.75">
      <c r="M252" s="125"/>
      <c r="N252" s="125"/>
      <c r="O252" s="125"/>
      <c r="P252" s="125"/>
      <c r="Q252" s="125"/>
      <c r="R252" s="125"/>
    </row>
    <row r="253" spans="13:18" ht="18.75">
      <c r="M253" s="125"/>
      <c r="N253" s="125"/>
      <c r="O253" s="125"/>
      <c r="P253" s="125"/>
      <c r="Q253" s="125"/>
      <c r="R253" s="125"/>
    </row>
    <row r="254" spans="13:18" ht="18.75">
      <c r="M254" s="125"/>
      <c r="N254" s="125"/>
      <c r="O254" s="125"/>
      <c r="P254" s="125"/>
      <c r="Q254" s="125"/>
      <c r="R254" s="125"/>
    </row>
    <row r="255" spans="13:18" ht="18.75">
      <c r="M255" s="125"/>
      <c r="N255" s="125"/>
      <c r="O255" s="125"/>
      <c r="P255" s="125"/>
      <c r="Q255" s="125"/>
      <c r="R255" s="125"/>
    </row>
    <row r="256" spans="13:18" ht="18.75">
      <c r="M256" s="125"/>
      <c r="N256" s="125"/>
      <c r="O256" s="125"/>
      <c r="P256" s="125"/>
      <c r="Q256" s="125"/>
      <c r="R256" s="125"/>
    </row>
    <row r="257" spans="13:18" ht="18.75">
      <c r="M257" s="125"/>
      <c r="N257" s="125"/>
      <c r="O257" s="125"/>
      <c r="P257" s="125"/>
      <c r="Q257" s="125"/>
      <c r="R257" s="125"/>
    </row>
    <row r="258" spans="13:18" ht="18.75">
      <c r="M258" s="125"/>
      <c r="N258" s="125"/>
      <c r="O258" s="125"/>
      <c r="P258" s="125"/>
      <c r="Q258" s="125"/>
      <c r="R258" s="125"/>
    </row>
    <row r="259" spans="13:18" ht="18.75">
      <c r="M259" s="125"/>
      <c r="N259" s="125"/>
      <c r="O259" s="125"/>
      <c r="P259" s="125"/>
      <c r="Q259" s="125"/>
      <c r="R259" s="125"/>
    </row>
    <row r="260" spans="13:18" ht="18.75">
      <c r="M260" s="125"/>
      <c r="N260" s="125"/>
      <c r="O260" s="125"/>
      <c r="P260" s="125"/>
      <c r="Q260" s="125"/>
      <c r="R260" s="125"/>
    </row>
    <row r="261" spans="13:18" ht="18.75">
      <c r="M261" s="125"/>
      <c r="N261" s="125"/>
      <c r="O261" s="125"/>
      <c r="P261" s="125"/>
      <c r="Q261" s="125"/>
      <c r="R261" s="125"/>
    </row>
    <row r="262" spans="13:18" ht="18.75">
      <c r="M262" s="125"/>
      <c r="N262" s="125"/>
      <c r="O262" s="125"/>
      <c r="P262" s="125"/>
      <c r="Q262" s="125"/>
      <c r="R262" s="125"/>
    </row>
    <row r="263" spans="13:18" ht="18.75">
      <c r="M263" s="125"/>
      <c r="N263" s="125"/>
      <c r="O263" s="125"/>
      <c r="P263" s="125"/>
      <c r="Q263" s="125"/>
      <c r="R263" s="125"/>
    </row>
    <row r="264" spans="13:18" ht="18.75">
      <c r="M264" s="125"/>
      <c r="N264" s="125"/>
      <c r="O264" s="125"/>
      <c r="P264" s="125"/>
      <c r="Q264" s="125"/>
      <c r="R264" s="125"/>
    </row>
    <row r="265" spans="13:18" ht="18.75">
      <c r="M265" s="125"/>
      <c r="N265" s="125"/>
      <c r="O265" s="125"/>
      <c r="P265" s="125"/>
      <c r="Q265" s="125"/>
      <c r="R265" s="125"/>
    </row>
    <row r="266" spans="13:18" ht="18.75">
      <c r="M266" s="125"/>
      <c r="N266" s="125"/>
      <c r="O266" s="125"/>
      <c r="P266" s="125"/>
      <c r="Q266" s="125"/>
      <c r="R266" s="125"/>
    </row>
    <row r="267" spans="13:18" ht="18.75">
      <c r="M267" s="125"/>
      <c r="N267" s="125"/>
      <c r="O267" s="125"/>
      <c r="P267" s="125"/>
      <c r="Q267" s="125"/>
      <c r="R267" s="125"/>
    </row>
    <row r="268" spans="13:18" ht="18.75">
      <c r="M268" s="125"/>
      <c r="N268" s="125"/>
      <c r="O268" s="125"/>
      <c r="P268" s="125"/>
      <c r="Q268" s="125"/>
      <c r="R268" s="125"/>
    </row>
    <row r="269" spans="13:18" ht="18.75">
      <c r="M269" s="125"/>
      <c r="N269" s="125"/>
      <c r="O269" s="125"/>
      <c r="P269" s="125"/>
      <c r="Q269" s="125"/>
      <c r="R269" s="125"/>
    </row>
    <row r="270" spans="13:18" ht="18.75">
      <c r="M270" s="125"/>
      <c r="N270" s="125"/>
      <c r="O270" s="125"/>
      <c r="P270" s="125"/>
      <c r="Q270" s="125"/>
      <c r="R270" s="125"/>
    </row>
    <row r="271" spans="13:18" ht="18.75">
      <c r="M271" s="125"/>
      <c r="N271" s="125"/>
      <c r="O271" s="125"/>
      <c r="P271" s="125"/>
      <c r="Q271" s="125"/>
      <c r="R271" s="125"/>
    </row>
    <row r="272" spans="13:18" ht="18.75">
      <c r="M272" s="125"/>
      <c r="N272" s="125"/>
      <c r="O272" s="125"/>
      <c r="P272" s="125"/>
      <c r="Q272" s="125"/>
      <c r="R272" s="125"/>
    </row>
    <row r="273" spans="13:18" ht="18.75">
      <c r="M273" s="125"/>
      <c r="N273" s="125"/>
      <c r="O273" s="125"/>
      <c r="P273" s="125"/>
      <c r="Q273" s="125"/>
      <c r="R273" s="125"/>
    </row>
    <row r="274" spans="13:18" ht="18.75">
      <c r="M274" s="125"/>
      <c r="N274" s="125"/>
      <c r="O274" s="125"/>
      <c r="P274" s="125"/>
      <c r="Q274" s="125"/>
      <c r="R274" s="125"/>
    </row>
    <row r="275" spans="13:18" ht="18.75">
      <c r="M275" s="125"/>
      <c r="N275" s="125"/>
      <c r="O275" s="125"/>
      <c r="P275" s="125"/>
      <c r="Q275" s="125"/>
      <c r="R275" s="125"/>
    </row>
    <row r="276" spans="13:18" ht="18.75">
      <c r="M276" s="125"/>
      <c r="N276" s="125"/>
      <c r="O276" s="125"/>
      <c r="P276" s="125"/>
      <c r="Q276" s="125"/>
      <c r="R276" s="125"/>
    </row>
    <row r="277" spans="13:18" ht="18.75">
      <c r="M277" s="125"/>
      <c r="N277" s="125"/>
      <c r="O277" s="125"/>
      <c r="P277" s="125"/>
      <c r="Q277" s="125"/>
      <c r="R277" s="125"/>
    </row>
    <row r="278" spans="13:18" ht="18.75">
      <c r="M278" s="125"/>
      <c r="N278" s="125"/>
      <c r="O278" s="125"/>
      <c r="P278" s="125"/>
      <c r="Q278" s="125"/>
      <c r="R278" s="125"/>
    </row>
    <row r="279" spans="13:18" ht="18.75">
      <c r="M279" s="125"/>
      <c r="N279" s="125"/>
      <c r="O279" s="125"/>
      <c r="P279" s="125"/>
      <c r="Q279" s="125"/>
      <c r="R279" s="125"/>
    </row>
    <row r="280" spans="13:18" ht="18.75">
      <c r="M280" s="125"/>
      <c r="N280" s="125"/>
      <c r="O280" s="125"/>
      <c r="P280" s="125"/>
      <c r="Q280" s="125"/>
      <c r="R280" s="125"/>
    </row>
    <row r="281" spans="13:18" ht="18.75">
      <c r="M281" s="125"/>
      <c r="N281" s="125"/>
      <c r="O281" s="125"/>
      <c r="P281" s="125"/>
      <c r="Q281" s="125"/>
      <c r="R281" s="125"/>
    </row>
    <row r="282" spans="13:18" ht="18.75">
      <c r="M282" s="125"/>
      <c r="N282" s="125"/>
      <c r="O282" s="125"/>
      <c r="P282" s="125"/>
      <c r="Q282" s="125"/>
      <c r="R282" s="125"/>
    </row>
    <row r="283" spans="13:18" ht="18.75">
      <c r="M283" s="125"/>
      <c r="N283" s="125"/>
      <c r="O283" s="125"/>
      <c r="P283" s="125"/>
      <c r="Q283" s="125"/>
      <c r="R283" s="125"/>
    </row>
    <row r="284" spans="13:18" ht="18.75">
      <c r="M284" s="125"/>
      <c r="N284" s="125"/>
      <c r="O284" s="125"/>
      <c r="P284" s="125"/>
      <c r="Q284" s="125"/>
      <c r="R284" s="125"/>
    </row>
    <row r="285" spans="13:18" ht="18.75">
      <c r="M285" s="125"/>
      <c r="N285" s="125"/>
      <c r="O285" s="125"/>
      <c r="P285" s="125"/>
      <c r="Q285" s="125"/>
      <c r="R285" s="125"/>
    </row>
    <row r="286" spans="13:18" ht="18.75">
      <c r="M286" s="125"/>
      <c r="N286" s="125"/>
      <c r="O286" s="125"/>
      <c r="P286" s="125"/>
      <c r="Q286" s="125"/>
      <c r="R286" s="125"/>
    </row>
    <row r="287" spans="13:18" ht="18.75">
      <c r="M287" s="125"/>
      <c r="N287" s="125"/>
      <c r="O287" s="125"/>
      <c r="P287" s="125"/>
      <c r="Q287" s="125"/>
      <c r="R287" s="125"/>
    </row>
    <row r="288" spans="13:18" ht="18.75">
      <c r="M288" s="125"/>
      <c r="N288" s="125"/>
      <c r="O288" s="125"/>
      <c r="P288" s="125"/>
      <c r="Q288" s="125"/>
      <c r="R288" s="125"/>
    </row>
    <row r="289" spans="13:18" ht="18.75">
      <c r="M289" s="125"/>
      <c r="N289" s="125"/>
      <c r="O289" s="125"/>
      <c r="P289" s="125"/>
      <c r="Q289" s="125"/>
      <c r="R289" s="125"/>
    </row>
    <row r="290" spans="13:18" ht="18.75">
      <c r="M290" s="125"/>
      <c r="N290" s="125"/>
      <c r="O290" s="125"/>
      <c r="P290" s="125"/>
      <c r="Q290" s="125"/>
      <c r="R290" s="125"/>
    </row>
    <row r="291" spans="13:18" ht="18.75">
      <c r="M291" s="125"/>
      <c r="N291" s="125"/>
      <c r="O291" s="125"/>
      <c r="P291" s="125"/>
      <c r="Q291" s="125"/>
      <c r="R291" s="125"/>
    </row>
    <row r="292" spans="13:18" ht="18.75">
      <c r="M292" s="125"/>
      <c r="N292" s="125"/>
      <c r="O292" s="125"/>
      <c r="P292" s="125"/>
      <c r="Q292" s="125"/>
      <c r="R292" s="125"/>
    </row>
    <row r="293" spans="13:18" ht="18.75">
      <c r="M293" s="125"/>
      <c r="N293" s="125"/>
      <c r="O293" s="125"/>
      <c r="P293" s="125"/>
      <c r="Q293" s="125"/>
      <c r="R293" s="125"/>
    </row>
    <row r="294" spans="13:18" ht="18.75">
      <c r="M294" s="125"/>
      <c r="N294" s="125"/>
      <c r="O294" s="125"/>
      <c r="P294" s="125"/>
      <c r="Q294" s="125"/>
      <c r="R294" s="125"/>
    </row>
    <row r="295" spans="13:18" ht="18.75">
      <c r="M295" s="125"/>
      <c r="N295" s="125"/>
      <c r="O295" s="125"/>
      <c r="P295" s="125"/>
      <c r="Q295" s="125"/>
      <c r="R295" s="125"/>
    </row>
    <row r="296" spans="13:18" ht="18.75">
      <c r="M296" s="125"/>
      <c r="N296" s="125"/>
      <c r="O296" s="125"/>
      <c r="P296" s="125"/>
      <c r="Q296" s="125"/>
      <c r="R296" s="125"/>
    </row>
    <row r="297" spans="13:18" ht="18.75">
      <c r="M297" s="125"/>
      <c r="N297" s="125"/>
      <c r="O297" s="125"/>
      <c r="P297" s="125"/>
      <c r="Q297" s="125"/>
      <c r="R297" s="125"/>
    </row>
    <row r="298" spans="13:18" ht="18.75">
      <c r="M298" s="125"/>
      <c r="N298" s="125"/>
      <c r="O298" s="125"/>
      <c r="P298" s="125"/>
      <c r="Q298" s="125"/>
      <c r="R298" s="125"/>
    </row>
    <row r="299" spans="13:18" ht="18.75">
      <c r="M299" s="125"/>
      <c r="N299" s="125"/>
      <c r="O299" s="125"/>
      <c r="P299" s="125"/>
      <c r="Q299" s="125"/>
      <c r="R299" s="125"/>
    </row>
  </sheetData>
  <sheetProtection/>
  <mergeCells count="8">
    <mergeCell ref="A137:R137"/>
    <mergeCell ref="A182:H207"/>
    <mergeCell ref="A2:R2"/>
    <mergeCell ref="M3:R3"/>
    <mergeCell ref="A4:A5"/>
    <mergeCell ref="B4:F4"/>
    <mergeCell ref="G4:R4"/>
    <mergeCell ref="A7:R7"/>
  </mergeCells>
  <printOptions/>
  <pageMargins left="0.2755905511811024" right="0.15748031496062992" top="0.15748031496062992" bottom="0.15748031496062992" header="0.15748031496062992" footer="0.15748031496062992"/>
  <pageSetup fitToHeight="15" fitToWidth="1" horizontalDpi="600" verticalDpi="600" orientation="landscape" paperSize="9" scale="58" r:id="rId1"/>
  <rowBreaks count="2" manualBreakCount="2">
    <brk id="162" max="17" man="1"/>
    <brk id="176" max="17" man="1"/>
  </rowBreaks>
</worksheet>
</file>

<file path=xl/worksheets/sheet4.xml><?xml version="1.0" encoding="utf-8"?>
<worksheet xmlns="http://schemas.openxmlformats.org/spreadsheetml/2006/main" xmlns:r="http://schemas.openxmlformats.org/officeDocument/2006/relationships">
  <sheetPr>
    <tabColor theme="0"/>
    <pageSetUpPr fitToPage="1"/>
  </sheetPr>
  <dimension ref="A1:X271"/>
  <sheetViews>
    <sheetView showZeros="0" view="pageBreakPreview" zoomScale="70" zoomScaleNormal="65" zoomScaleSheetLayoutView="70" zoomScalePageLayoutView="0" workbookViewId="0" topLeftCell="B134">
      <selection activeCell="I140" sqref="I140"/>
    </sheetView>
  </sheetViews>
  <sheetFormatPr defaultColWidth="12.19921875" defaultRowHeight="15"/>
  <cols>
    <col min="1" max="1" width="38" style="437" customWidth="1"/>
    <col min="2" max="2" width="11.3984375" style="404" customWidth="1"/>
    <col min="3" max="3" width="12.09765625" style="365" customWidth="1"/>
    <col min="4" max="4" width="12.19921875" style="405" customWidth="1"/>
    <col min="5" max="5" width="10.69921875" style="405" customWidth="1"/>
    <col min="6" max="6" width="12" style="405" customWidth="1"/>
    <col min="7" max="7" width="13.8984375" style="405" customWidth="1"/>
    <col min="8" max="8" width="13.19921875" style="405" customWidth="1"/>
    <col min="9" max="9" width="11.69921875" style="406" customWidth="1"/>
    <col min="10" max="10" width="12.19921875" style="407" customWidth="1"/>
    <col min="11" max="11" width="12" style="406" customWidth="1"/>
    <col min="12" max="12" width="11.69921875" style="365" customWidth="1"/>
    <col min="13" max="13" width="12.69921875" style="451" customWidth="1"/>
    <col min="14" max="14" width="9.3984375" style="365" customWidth="1"/>
    <col min="15" max="15" width="11.69921875" style="365" customWidth="1"/>
    <col min="16" max="16" width="10" style="430" customWidth="1"/>
    <col min="17" max="17" width="11.8984375" style="365" customWidth="1"/>
    <col min="18" max="18" width="12" style="430" customWidth="1"/>
    <col min="19" max="19" width="36.19921875" style="365" customWidth="1"/>
    <col min="20" max="22" width="12.19921875" style="365" customWidth="1"/>
    <col min="23" max="23" width="12.19921875" style="366" customWidth="1"/>
    <col min="24" max="16384" width="12.19921875" style="365" customWidth="1"/>
  </cols>
  <sheetData>
    <row r="1" spans="1:23" ht="18.75">
      <c r="A1" s="244"/>
      <c r="B1" s="440"/>
      <c r="C1" s="408"/>
      <c r="D1" s="441"/>
      <c r="E1" s="441"/>
      <c r="F1" s="441"/>
      <c r="G1" s="441"/>
      <c r="H1" s="441"/>
      <c r="I1" s="442"/>
      <c r="J1" s="443"/>
      <c r="K1" s="442"/>
      <c r="L1" s="408"/>
      <c r="M1" s="408"/>
      <c r="N1" s="408"/>
      <c r="O1" s="408"/>
      <c r="P1" s="408"/>
      <c r="Q1" s="408"/>
      <c r="R1" s="408"/>
      <c r="S1" s="365">
        <v>16</v>
      </c>
      <c r="W1" s="409"/>
    </row>
    <row r="2" spans="1:23" s="410" customFormat="1" ht="22.5">
      <c r="A2" s="830" t="s">
        <v>27</v>
      </c>
      <c r="B2" s="830"/>
      <c r="C2" s="830"/>
      <c r="D2" s="830"/>
      <c r="E2" s="830"/>
      <c r="F2" s="830"/>
      <c r="G2" s="830"/>
      <c r="H2" s="830"/>
      <c r="I2" s="830"/>
      <c r="J2" s="830"/>
      <c r="K2" s="830"/>
      <c r="L2" s="830"/>
      <c r="M2" s="830"/>
      <c r="N2" s="830"/>
      <c r="O2" s="830"/>
      <c r="P2" s="830"/>
      <c r="Q2" s="830"/>
      <c r="R2" s="830"/>
      <c r="W2" s="411"/>
    </row>
    <row r="3" spans="1:23" s="410" customFormat="1" ht="20.25">
      <c r="A3" s="444"/>
      <c r="B3" s="445"/>
      <c r="C3" s="446"/>
      <c r="D3" s="447"/>
      <c r="E3" s="448"/>
      <c r="F3" s="448"/>
      <c r="G3" s="447"/>
      <c r="H3" s="447"/>
      <c r="I3" s="447"/>
      <c r="J3" s="447"/>
      <c r="K3" s="447"/>
      <c r="L3" s="446"/>
      <c r="M3" s="831"/>
      <c r="N3" s="831"/>
      <c r="O3" s="831"/>
      <c r="P3" s="831"/>
      <c r="Q3" s="831"/>
      <c r="R3" s="831"/>
      <c r="W3" s="412"/>
    </row>
    <row r="4" spans="1:23" s="350" customFormat="1" ht="18.75" customHeight="1">
      <c r="A4" s="832" t="s">
        <v>61</v>
      </c>
      <c r="B4" s="827">
        <v>2017</v>
      </c>
      <c r="C4" s="828"/>
      <c r="D4" s="828"/>
      <c r="E4" s="828"/>
      <c r="F4" s="829"/>
      <c r="G4" s="827">
        <v>2018</v>
      </c>
      <c r="H4" s="828"/>
      <c r="I4" s="828"/>
      <c r="J4" s="828"/>
      <c r="K4" s="828"/>
      <c r="L4" s="828"/>
      <c r="M4" s="828"/>
      <c r="N4" s="828"/>
      <c r="O4" s="312"/>
      <c r="P4" s="312"/>
      <c r="Q4" s="312"/>
      <c r="R4" s="313"/>
      <c r="S4" s="349"/>
      <c r="W4" s="351"/>
    </row>
    <row r="5" spans="1:23" s="357" customFormat="1" ht="162.75" customHeight="1">
      <c r="A5" s="833"/>
      <c r="B5" s="352" t="s">
        <v>119</v>
      </c>
      <c r="C5" s="353" t="s">
        <v>120</v>
      </c>
      <c r="D5" s="352" t="s">
        <v>28</v>
      </c>
      <c r="E5" s="315" t="s">
        <v>29</v>
      </c>
      <c r="F5" s="354" t="s">
        <v>30</v>
      </c>
      <c r="G5" s="314" t="s">
        <v>330</v>
      </c>
      <c r="H5" s="314" t="s">
        <v>33</v>
      </c>
      <c r="I5" s="314" t="s">
        <v>141</v>
      </c>
      <c r="J5" s="314" t="s">
        <v>34</v>
      </c>
      <c r="K5" s="314" t="s">
        <v>62</v>
      </c>
      <c r="L5" s="353" t="s">
        <v>63</v>
      </c>
      <c r="M5" s="315" t="s">
        <v>35</v>
      </c>
      <c r="N5" s="315" t="s">
        <v>138</v>
      </c>
      <c r="O5" s="315" t="s">
        <v>139</v>
      </c>
      <c r="P5" s="315" t="s">
        <v>64</v>
      </c>
      <c r="Q5" s="315" t="s">
        <v>140</v>
      </c>
      <c r="R5" s="315" t="s">
        <v>267</v>
      </c>
      <c r="S5" s="355" t="s">
        <v>303</v>
      </c>
      <c r="T5" s="356"/>
      <c r="W5" s="362"/>
    </row>
    <row r="6" spans="1:23" s="357" customFormat="1" ht="15.75">
      <c r="A6" s="363">
        <v>1</v>
      </c>
      <c r="B6" s="318">
        <v>2</v>
      </c>
      <c r="C6" s="318">
        <v>3</v>
      </c>
      <c r="D6" s="318">
        <v>4</v>
      </c>
      <c r="E6" s="364">
        <v>5</v>
      </c>
      <c r="F6" s="364">
        <v>6</v>
      </c>
      <c r="G6" s="316">
        <v>7</v>
      </c>
      <c r="H6" s="316">
        <v>8</v>
      </c>
      <c r="I6" s="316">
        <v>9</v>
      </c>
      <c r="J6" s="316">
        <v>10</v>
      </c>
      <c r="K6" s="317">
        <v>11</v>
      </c>
      <c r="L6" s="316">
        <v>12</v>
      </c>
      <c r="M6" s="316">
        <v>13</v>
      </c>
      <c r="N6" s="317">
        <v>14</v>
      </c>
      <c r="O6" s="316">
        <v>15</v>
      </c>
      <c r="P6" s="318">
        <v>16</v>
      </c>
      <c r="Q6" s="318">
        <v>17</v>
      </c>
      <c r="R6" s="318">
        <v>18</v>
      </c>
      <c r="S6" s="140" t="s">
        <v>305</v>
      </c>
      <c r="T6" s="141">
        <f>7/12</f>
        <v>0.5833333333333334</v>
      </c>
      <c r="W6" s="362"/>
    </row>
    <row r="7" spans="1:20" ht="15.75">
      <c r="A7" s="834" t="s">
        <v>65</v>
      </c>
      <c r="B7" s="835"/>
      <c r="C7" s="835"/>
      <c r="D7" s="835"/>
      <c r="E7" s="835"/>
      <c r="F7" s="835"/>
      <c r="G7" s="835"/>
      <c r="H7" s="835"/>
      <c r="I7" s="835"/>
      <c r="J7" s="835"/>
      <c r="K7" s="835"/>
      <c r="L7" s="835"/>
      <c r="M7" s="835"/>
      <c r="N7" s="835"/>
      <c r="O7" s="835"/>
      <c r="P7" s="835"/>
      <c r="Q7" s="835"/>
      <c r="R7" s="836"/>
      <c r="S7" s="140" t="s">
        <v>306</v>
      </c>
      <c r="T7" s="141">
        <f>6/12</f>
        <v>0.5</v>
      </c>
    </row>
    <row r="8" spans="1:23" s="370" customFormat="1" ht="18.75">
      <c r="A8" s="367" t="s">
        <v>66</v>
      </c>
      <c r="B8" s="368">
        <v>10000000</v>
      </c>
      <c r="C8" s="6">
        <f>C9+C13+C23+C19</f>
        <v>1295006.7</v>
      </c>
      <c r="D8" s="6">
        <f>D9+D13+D23+D19</f>
        <v>1295006.7</v>
      </c>
      <c r="E8" s="6">
        <f>L8-D8</f>
        <v>253569.30000000005</v>
      </c>
      <c r="F8" s="6">
        <f aca="true" t="shared" si="0" ref="F8:F73">L8/D8*100</f>
        <v>119.58053962191858</v>
      </c>
      <c r="G8" s="6">
        <f aca="true" t="shared" si="1" ref="G8:M8">G9+G13+G23+G19</f>
        <v>1536023</v>
      </c>
      <c r="H8" s="6">
        <f t="shared" si="1"/>
        <v>896013.3</v>
      </c>
      <c r="I8" s="6">
        <f t="shared" si="1"/>
        <v>814557.5399999999</v>
      </c>
      <c r="J8" s="6">
        <f t="shared" si="1"/>
        <v>734584.1</v>
      </c>
      <c r="K8" s="6">
        <f t="shared" si="1"/>
        <v>659054.9</v>
      </c>
      <c r="L8" s="6">
        <f t="shared" si="1"/>
        <v>1548576</v>
      </c>
      <c r="M8" s="6" t="e">
        <f t="shared" si="1"/>
        <v>#REF!</v>
      </c>
      <c r="N8" s="6">
        <f aca="true" t="shared" si="2" ref="N8:N44">L8/G8*100</f>
        <v>100.81724036684348</v>
      </c>
      <c r="O8" s="6">
        <f aca="true" t="shared" si="3" ref="O8:O14">L8/I8*100</f>
        <v>190.1125364329695</v>
      </c>
      <c r="P8" s="6">
        <f aca="true" t="shared" si="4" ref="P8:P14">L8/K8*100</f>
        <v>234.96919604117957</v>
      </c>
      <c r="Q8" s="6">
        <f aca="true" t="shared" si="5" ref="Q8:Q73">L8-I8</f>
        <v>734018.4600000001</v>
      </c>
      <c r="R8" s="6">
        <f aca="true" t="shared" si="6" ref="R8:R73">L8-K8</f>
        <v>889521.1</v>
      </c>
      <c r="S8" s="140" t="s">
        <v>3</v>
      </c>
      <c r="T8" s="141">
        <f>8/264</f>
        <v>0.030303030303030304</v>
      </c>
      <c r="U8" s="322">
        <f aca="true" t="shared" si="7" ref="U8:U19">L8/G8*100-N8</f>
        <v>0</v>
      </c>
      <c r="V8" s="322">
        <f aca="true" t="shared" si="8" ref="V8:V19">L8/I8*100-O8</f>
        <v>0</v>
      </c>
      <c r="W8" s="369">
        <f>L8/K8*100-P8</f>
        <v>0</v>
      </c>
    </row>
    <row r="9" spans="1:24" s="370" customFormat="1" ht="31.5">
      <c r="A9" s="367" t="s">
        <v>67</v>
      </c>
      <c r="B9" s="368">
        <v>11000000</v>
      </c>
      <c r="C9" s="6">
        <f>C10+C11</f>
        <v>844789.9</v>
      </c>
      <c r="D9" s="6">
        <f>D10+D11</f>
        <v>844789.9</v>
      </c>
      <c r="E9" s="6">
        <f>L9-D9</f>
        <v>198598.69999999995</v>
      </c>
      <c r="F9" s="6">
        <f t="shared" si="0"/>
        <v>123.50864990218278</v>
      </c>
      <c r="G9" s="6">
        <f aca="true" t="shared" si="9" ref="G9:M9">G10+G11</f>
        <v>1034296.1</v>
      </c>
      <c r="H9" s="6">
        <f t="shared" si="9"/>
        <v>603339.3</v>
      </c>
      <c r="I9" s="6">
        <f t="shared" si="9"/>
        <v>548490.2999999999</v>
      </c>
      <c r="J9" s="6">
        <f t="shared" si="9"/>
        <v>493965.80000000005</v>
      </c>
      <c r="K9" s="6">
        <f t="shared" si="9"/>
        <v>438269.7</v>
      </c>
      <c r="L9" s="6">
        <f t="shared" si="9"/>
        <v>1043388.6</v>
      </c>
      <c r="M9" s="6" t="e">
        <f t="shared" si="9"/>
        <v>#REF!</v>
      </c>
      <c r="N9" s="6">
        <f t="shared" si="2"/>
        <v>100.87910028859241</v>
      </c>
      <c r="O9" s="6">
        <f t="shared" si="3"/>
        <v>190.22917998732157</v>
      </c>
      <c r="P9" s="6">
        <f t="shared" si="4"/>
        <v>238.06998293516526</v>
      </c>
      <c r="Q9" s="6">
        <f t="shared" si="5"/>
        <v>494898.30000000005</v>
      </c>
      <c r="R9" s="6">
        <f t="shared" si="6"/>
        <v>605118.8999999999</v>
      </c>
      <c r="S9" s="321">
        <f>L9-I9-Q9</f>
        <v>0</v>
      </c>
      <c r="T9" s="345">
        <f>G9*6/12+G9*18/(21*12)</f>
        <v>591026.3428571429</v>
      </c>
      <c r="U9" s="322">
        <f t="shared" si="7"/>
        <v>0</v>
      </c>
      <c r="V9" s="322">
        <f t="shared" si="8"/>
        <v>0</v>
      </c>
      <c r="W9" s="323">
        <f aca="true" t="shared" si="10" ref="W9:W64">H9-I9</f>
        <v>54849.00000000012</v>
      </c>
      <c r="X9" s="322">
        <f aca="true" t="shared" si="11" ref="X9:X64">J9-K9</f>
        <v>55696.100000000035</v>
      </c>
    </row>
    <row r="10" spans="1:24" s="413" customFormat="1" ht="20.25">
      <c r="A10" s="342" t="s">
        <v>153</v>
      </c>
      <c r="B10" s="325">
        <v>11010000</v>
      </c>
      <c r="C10" s="3">
        <v>844399</v>
      </c>
      <c r="D10" s="3">
        <v>844399</v>
      </c>
      <c r="E10" s="25">
        <f>L10-D10</f>
        <v>198763.19999999995</v>
      </c>
      <c r="F10" s="25">
        <f t="shared" si="0"/>
        <v>123.53901413905038</v>
      </c>
      <c r="G10" s="3">
        <f>1015300+18717.7</f>
        <v>1034017.7</v>
      </c>
      <c r="H10" s="3">
        <f>ROUND(G10*$T$6,1)-0.1</f>
        <v>603176.9</v>
      </c>
      <c r="I10" s="7">
        <f>ROUND((G10*$T$7+G10*$T$8),1)</f>
        <v>548342.7</v>
      </c>
      <c r="J10" s="3">
        <v>493689.9</v>
      </c>
      <c r="K10" s="3">
        <v>437993.8</v>
      </c>
      <c r="L10" s="3">
        <v>1043162.2</v>
      </c>
      <c r="M10" s="3" t="e">
        <f>L10-#REF!</f>
        <v>#REF!</v>
      </c>
      <c r="N10" s="25">
        <f t="shared" si="2"/>
        <v>100.88436590592211</v>
      </c>
      <c r="O10" s="25">
        <f t="shared" si="3"/>
        <v>190.2390968275861</v>
      </c>
      <c r="P10" s="25">
        <f t="shared" si="4"/>
        <v>238.16825717624312</v>
      </c>
      <c r="Q10" s="25">
        <f t="shared" si="5"/>
        <v>494819.5</v>
      </c>
      <c r="R10" s="25">
        <f t="shared" si="6"/>
        <v>605168.3999999999</v>
      </c>
      <c r="S10" s="321">
        <f>L10/$L$62*100</f>
        <v>64.57622008571404</v>
      </c>
      <c r="T10" s="345">
        <f>G10*6/12+G10*18/(21*12)</f>
        <v>590867.2571428571</v>
      </c>
      <c r="U10" s="322">
        <f t="shared" si="7"/>
        <v>0</v>
      </c>
      <c r="V10" s="322">
        <f t="shared" si="8"/>
        <v>0</v>
      </c>
      <c r="W10" s="323">
        <f t="shared" si="10"/>
        <v>54834.20000000007</v>
      </c>
      <c r="X10" s="322">
        <f t="shared" si="11"/>
        <v>55696.100000000035</v>
      </c>
    </row>
    <row r="11" spans="1:24" s="414" customFormat="1" ht="20.25">
      <c r="A11" s="342" t="s">
        <v>293</v>
      </c>
      <c r="B11" s="325">
        <v>11020000</v>
      </c>
      <c r="C11" s="3">
        <f>C12</f>
        <v>390.9</v>
      </c>
      <c r="D11" s="3">
        <f>D12</f>
        <v>390.9</v>
      </c>
      <c r="E11" s="25">
        <f>E12</f>
        <v>-164.49999999999997</v>
      </c>
      <c r="F11" s="25">
        <f t="shared" si="0"/>
        <v>57.917625991302124</v>
      </c>
      <c r="G11" s="3">
        <f aca="true" t="shared" si="12" ref="G11:L11">G12</f>
        <v>278.4</v>
      </c>
      <c r="H11" s="3">
        <f t="shared" si="12"/>
        <v>162.4</v>
      </c>
      <c r="I11" s="3">
        <f t="shared" si="12"/>
        <v>147.6</v>
      </c>
      <c r="J11" s="3">
        <f t="shared" si="12"/>
        <v>275.9</v>
      </c>
      <c r="K11" s="3">
        <f t="shared" si="12"/>
        <v>275.9</v>
      </c>
      <c r="L11" s="3">
        <f t="shared" si="12"/>
        <v>226.4</v>
      </c>
      <c r="M11" s="3" t="e">
        <f>L11-#REF!</f>
        <v>#REF!</v>
      </c>
      <c r="N11" s="3">
        <f t="shared" si="2"/>
        <v>81.32183908045978</v>
      </c>
      <c r="O11" s="25">
        <f t="shared" si="3"/>
        <v>153.38753387533876</v>
      </c>
      <c r="P11" s="3">
        <f t="shared" si="4"/>
        <v>82.05871692642262</v>
      </c>
      <c r="Q11" s="25">
        <f t="shared" si="5"/>
        <v>78.80000000000001</v>
      </c>
      <c r="R11" s="25">
        <f t="shared" si="6"/>
        <v>-49.49999999999997</v>
      </c>
      <c r="S11" s="321">
        <f>L11/$L$62*100</f>
        <v>0.014015132284706694</v>
      </c>
      <c r="T11" s="345">
        <f>G11*6/12+G11*18/(21*12)</f>
        <v>159.0857142857143</v>
      </c>
      <c r="U11" s="322">
        <f t="shared" si="7"/>
        <v>0</v>
      </c>
      <c r="V11" s="322">
        <f t="shared" si="8"/>
        <v>0</v>
      </c>
      <c r="W11" s="323">
        <f t="shared" si="10"/>
        <v>14.800000000000011</v>
      </c>
      <c r="X11" s="322">
        <f t="shared" si="11"/>
        <v>0</v>
      </c>
    </row>
    <row r="12" spans="1:24" s="415" customFormat="1" ht="31.5">
      <c r="A12" s="343" t="s">
        <v>69</v>
      </c>
      <c r="B12" s="344">
        <v>11020201</v>
      </c>
      <c r="C12" s="8">
        <v>390.9</v>
      </c>
      <c r="D12" s="8">
        <v>390.9</v>
      </c>
      <c r="E12" s="25">
        <f aca="true" t="shared" si="13" ref="E12:E78">L12-D12</f>
        <v>-164.49999999999997</v>
      </c>
      <c r="F12" s="25">
        <f t="shared" si="0"/>
        <v>57.917625991302124</v>
      </c>
      <c r="G12" s="8">
        <v>278.4</v>
      </c>
      <c r="H12" s="3">
        <f>ROUND(G12*$T$6,1)</f>
        <v>162.4</v>
      </c>
      <c r="I12" s="3">
        <f>ROUND((G12*$T$7+G12*$T$8),1)</f>
        <v>147.6</v>
      </c>
      <c r="J12" s="8">
        <v>275.9</v>
      </c>
      <c r="K12" s="8">
        <v>275.9</v>
      </c>
      <c r="L12" s="8">
        <v>226.4</v>
      </c>
      <c r="M12" s="3" t="e">
        <f>L12-#REF!</f>
        <v>#REF!</v>
      </c>
      <c r="N12" s="36">
        <f t="shared" si="2"/>
        <v>81.32183908045978</v>
      </c>
      <c r="O12" s="25">
        <f t="shared" si="3"/>
        <v>153.38753387533876</v>
      </c>
      <c r="P12" s="36">
        <f t="shared" si="4"/>
        <v>82.05871692642262</v>
      </c>
      <c r="Q12" s="25">
        <f t="shared" si="5"/>
        <v>78.80000000000001</v>
      </c>
      <c r="R12" s="25">
        <f t="shared" si="6"/>
        <v>-49.49999999999997</v>
      </c>
      <c r="S12" s="321">
        <f>L12/$L$62*100</f>
        <v>0.014015132284706694</v>
      </c>
      <c r="T12" s="345">
        <f>G12*6/12+G12*18/(21*12)</f>
        <v>159.0857142857143</v>
      </c>
      <c r="U12" s="322">
        <f t="shared" si="7"/>
        <v>0</v>
      </c>
      <c r="V12" s="322">
        <f t="shared" si="8"/>
        <v>0</v>
      </c>
      <c r="W12" s="323">
        <f t="shared" si="10"/>
        <v>14.800000000000011</v>
      </c>
      <c r="X12" s="322">
        <f t="shared" si="11"/>
        <v>0</v>
      </c>
    </row>
    <row r="13" spans="1:24" s="416" customFormat="1" ht="31.5">
      <c r="A13" s="326" t="s">
        <v>123</v>
      </c>
      <c r="B13" s="320">
        <v>13000000</v>
      </c>
      <c r="C13" s="9">
        <f>C14+C18+C15</f>
        <v>125.5</v>
      </c>
      <c r="D13" s="9">
        <f>D14+D18+D15</f>
        <v>125.5</v>
      </c>
      <c r="E13" s="6">
        <f t="shared" si="13"/>
        <v>63.099999999999994</v>
      </c>
      <c r="F13" s="6">
        <f>L13/D13*100</f>
        <v>150.27888446215138</v>
      </c>
      <c r="G13" s="9">
        <f aca="true" t="shared" si="14" ref="G13:L13">G14+G18+G15</f>
        <v>76.6</v>
      </c>
      <c r="H13" s="9">
        <f t="shared" si="14"/>
        <v>44.7</v>
      </c>
      <c r="I13" s="9">
        <f t="shared" si="14"/>
        <v>40.6</v>
      </c>
      <c r="J13" s="9">
        <f t="shared" si="14"/>
        <v>19.6</v>
      </c>
      <c r="K13" s="9">
        <f t="shared" si="14"/>
        <v>19.6</v>
      </c>
      <c r="L13" s="9">
        <f t="shared" si="14"/>
        <v>188.6</v>
      </c>
      <c r="M13" s="9" t="e">
        <f>L13-#REF!</f>
        <v>#REF!</v>
      </c>
      <c r="N13" s="9">
        <f t="shared" si="2"/>
        <v>246.2140992167102</v>
      </c>
      <c r="O13" s="6">
        <f t="shared" si="3"/>
        <v>464.5320197044334</v>
      </c>
      <c r="P13" s="9">
        <f t="shared" si="4"/>
        <v>962.2448979591835</v>
      </c>
      <c r="Q13" s="6">
        <f t="shared" si="5"/>
        <v>148</v>
      </c>
      <c r="R13" s="6">
        <f t="shared" si="6"/>
        <v>169</v>
      </c>
      <c r="S13" s="321">
        <f>L13/$L$62*100</f>
        <v>0.01167514995095266</v>
      </c>
      <c r="T13" s="322">
        <f>L13-K13-R13</f>
        <v>0</v>
      </c>
      <c r="U13" s="322">
        <f t="shared" si="7"/>
        <v>0</v>
      </c>
      <c r="V13" s="322">
        <f t="shared" si="8"/>
        <v>0</v>
      </c>
      <c r="W13" s="323">
        <f t="shared" si="10"/>
        <v>4.100000000000001</v>
      </c>
      <c r="X13" s="322">
        <f t="shared" si="11"/>
        <v>0</v>
      </c>
    </row>
    <row r="14" spans="1:24" s="417" customFormat="1" ht="78.75">
      <c r="A14" s="340" t="s">
        <v>124</v>
      </c>
      <c r="B14" s="325">
        <v>13010200</v>
      </c>
      <c r="C14" s="3">
        <v>92.7</v>
      </c>
      <c r="D14" s="3">
        <v>92.7</v>
      </c>
      <c r="E14" s="25">
        <f t="shared" si="13"/>
        <v>71.7</v>
      </c>
      <c r="F14" s="25">
        <f t="shared" si="0"/>
        <v>177.3462783171521</v>
      </c>
      <c r="G14" s="3">
        <v>56.6</v>
      </c>
      <c r="H14" s="3">
        <f>ROUND(G14*$T$6,1)</f>
        <v>33</v>
      </c>
      <c r="I14" s="7">
        <f>ROUND((G14*$T$7+G14*$T$8),1)</f>
        <v>30</v>
      </c>
      <c r="J14" s="3">
        <v>14</v>
      </c>
      <c r="K14" s="3">
        <v>14</v>
      </c>
      <c r="L14" s="3">
        <v>164.4</v>
      </c>
      <c r="M14" s="3" t="e">
        <f>L14-#REF!</f>
        <v>#REF!</v>
      </c>
      <c r="N14" s="3">
        <f t="shared" si="2"/>
        <v>290.4593639575972</v>
      </c>
      <c r="O14" s="3">
        <f t="shared" si="3"/>
        <v>548</v>
      </c>
      <c r="P14" s="3">
        <f t="shared" si="4"/>
        <v>1174.2857142857144</v>
      </c>
      <c r="Q14" s="25">
        <f t="shared" si="5"/>
        <v>134.4</v>
      </c>
      <c r="R14" s="25">
        <f t="shared" si="6"/>
        <v>150.4</v>
      </c>
      <c r="S14" s="321">
        <f>L14/$L$62*100</f>
        <v>0.01017706602299373</v>
      </c>
      <c r="T14" s="322">
        <f>L14-K14-R14</f>
        <v>0</v>
      </c>
      <c r="U14" s="322">
        <f t="shared" si="7"/>
        <v>0</v>
      </c>
      <c r="V14" s="322">
        <f t="shared" si="8"/>
        <v>0</v>
      </c>
      <c r="W14" s="323">
        <f t="shared" si="10"/>
        <v>3</v>
      </c>
      <c r="X14" s="322">
        <f t="shared" si="11"/>
        <v>0</v>
      </c>
    </row>
    <row r="15" spans="1:24" s="413" customFormat="1" ht="20.25" hidden="1">
      <c r="A15" s="340" t="s">
        <v>1</v>
      </c>
      <c r="B15" s="325">
        <v>13020000</v>
      </c>
      <c r="C15" s="3"/>
      <c r="D15" s="3">
        <f>D16</f>
        <v>0</v>
      </c>
      <c r="E15" s="25">
        <f>L15-D15</f>
        <v>0</v>
      </c>
      <c r="F15" s="256" t="e">
        <f>L15/D15*100</f>
        <v>#DIV/0!</v>
      </c>
      <c r="G15" s="3"/>
      <c r="H15" s="3"/>
      <c r="I15" s="7"/>
      <c r="J15" s="3"/>
      <c r="K15" s="3"/>
      <c r="L15" s="3">
        <f>L16</f>
        <v>0</v>
      </c>
      <c r="M15" s="3" t="e">
        <f>L15-#REF!</f>
        <v>#REF!</v>
      </c>
      <c r="N15" s="3"/>
      <c r="O15" s="3"/>
      <c r="P15" s="3"/>
      <c r="Q15" s="25">
        <f>L15-I15</f>
        <v>0</v>
      </c>
      <c r="R15" s="25">
        <f>L15-K15</f>
        <v>0</v>
      </c>
      <c r="S15" s="347"/>
      <c r="T15" s="348"/>
      <c r="U15" s="348"/>
      <c r="V15" s="348"/>
      <c r="W15" s="390"/>
      <c r="X15" s="348"/>
    </row>
    <row r="16" spans="1:24" s="417" customFormat="1" ht="31.5" hidden="1">
      <c r="A16" s="340" t="s">
        <v>2</v>
      </c>
      <c r="B16" s="325">
        <v>13020200</v>
      </c>
      <c r="C16" s="3"/>
      <c r="D16" s="3"/>
      <c r="E16" s="25">
        <f>L16-D16</f>
        <v>0</v>
      </c>
      <c r="F16" s="256" t="e">
        <f>L16/D16*100</f>
        <v>#DIV/0!</v>
      </c>
      <c r="G16" s="3"/>
      <c r="H16" s="3"/>
      <c r="I16" s="7"/>
      <c r="J16" s="3"/>
      <c r="K16" s="3"/>
      <c r="L16" s="3">
        <v>0</v>
      </c>
      <c r="M16" s="3" t="e">
        <f>L16-#REF!</f>
        <v>#REF!</v>
      </c>
      <c r="N16" s="3"/>
      <c r="O16" s="3"/>
      <c r="P16" s="3"/>
      <c r="Q16" s="25">
        <f>L16-I16</f>
        <v>0</v>
      </c>
      <c r="R16" s="25">
        <f>L16-K16</f>
        <v>0</v>
      </c>
      <c r="S16" s="321"/>
      <c r="T16" s="322"/>
      <c r="U16" s="322"/>
      <c r="V16" s="322"/>
      <c r="W16" s="323"/>
      <c r="X16" s="322"/>
    </row>
    <row r="17" spans="1:24" s="413" customFormat="1" ht="20.25">
      <c r="A17" s="339" t="s">
        <v>125</v>
      </c>
      <c r="B17" s="325">
        <v>13030000</v>
      </c>
      <c r="C17" s="3">
        <f>C18</f>
        <v>32.8</v>
      </c>
      <c r="D17" s="3">
        <f>D18</f>
        <v>32.8</v>
      </c>
      <c r="E17" s="25">
        <f t="shared" si="13"/>
        <v>-8.599999999999998</v>
      </c>
      <c r="F17" s="25">
        <f t="shared" si="0"/>
        <v>73.78048780487805</v>
      </c>
      <c r="G17" s="3">
        <f aca="true" t="shared" si="15" ref="G17:L17">G18</f>
        <v>20</v>
      </c>
      <c r="H17" s="3">
        <f t="shared" si="15"/>
        <v>11.7</v>
      </c>
      <c r="I17" s="3">
        <f t="shared" si="15"/>
        <v>10.6</v>
      </c>
      <c r="J17" s="3">
        <f t="shared" si="15"/>
        <v>5.6</v>
      </c>
      <c r="K17" s="3">
        <f t="shared" si="15"/>
        <v>5.6</v>
      </c>
      <c r="L17" s="3">
        <f t="shared" si="15"/>
        <v>24.2</v>
      </c>
      <c r="M17" s="3" t="e">
        <f>L17-#REF!</f>
        <v>#REF!</v>
      </c>
      <c r="N17" s="25">
        <f t="shared" si="2"/>
        <v>121</v>
      </c>
      <c r="O17" s="25">
        <f aca="true" t="shared" si="16" ref="O17:O79">L17/I17*100</f>
        <v>228.30188679245285</v>
      </c>
      <c r="P17" s="25">
        <f aca="true" t="shared" si="17" ref="P17:P79">L17/K17*100</f>
        <v>432.1428571428571</v>
      </c>
      <c r="Q17" s="25">
        <f t="shared" si="5"/>
        <v>13.6</v>
      </c>
      <c r="R17" s="25">
        <f t="shared" si="6"/>
        <v>18.6</v>
      </c>
      <c r="S17" s="321">
        <f>L17/$L$62*100</f>
        <v>0.001498083927958931</v>
      </c>
      <c r="T17" s="322">
        <f>L17-K17-R17</f>
        <v>0</v>
      </c>
      <c r="U17" s="322">
        <f t="shared" si="7"/>
        <v>0</v>
      </c>
      <c r="V17" s="322">
        <f t="shared" si="8"/>
        <v>0</v>
      </c>
      <c r="W17" s="323">
        <f t="shared" si="10"/>
        <v>1.0999999999999996</v>
      </c>
      <c r="X17" s="322">
        <f t="shared" si="11"/>
        <v>0</v>
      </c>
    </row>
    <row r="18" spans="1:24" s="415" customFormat="1" ht="47.25">
      <c r="A18" s="343" t="s">
        <v>126</v>
      </c>
      <c r="B18" s="344">
        <v>13030200</v>
      </c>
      <c r="C18" s="8">
        <v>32.8</v>
      </c>
      <c r="D18" s="8">
        <v>32.8</v>
      </c>
      <c r="E18" s="36">
        <f t="shared" si="13"/>
        <v>-8.599999999999998</v>
      </c>
      <c r="F18" s="25">
        <f t="shared" si="0"/>
        <v>73.78048780487805</v>
      </c>
      <c r="G18" s="8">
        <v>20</v>
      </c>
      <c r="H18" s="3">
        <f>ROUND(G18*$T$6,1)</f>
        <v>11.7</v>
      </c>
      <c r="I18" s="7">
        <f>ROUND((G18*$T$7+G18*$T$8),1)</f>
        <v>10.6</v>
      </c>
      <c r="J18" s="8">
        <v>5.6</v>
      </c>
      <c r="K18" s="8">
        <v>5.6</v>
      </c>
      <c r="L18" s="8">
        <v>24.2</v>
      </c>
      <c r="M18" s="3" t="e">
        <f>L18-#REF!</f>
        <v>#REF!</v>
      </c>
      <c r="N18" s="36">
        <f t="shared" si="2"/>
        <v>121</v>
      </c>
      <c r="O18" s="36">
        <f t="shared" si="16"/>
        <v>228.30188679245285</v>
      </c>
      <c r="P18" s="36">
        <f t="shared" si="17"/>
        <v>432.1428571428571</v>
      </c>
      <c r="Q18" s="36">
        <f t="shared" si="5"/>
        <v>13.6</v>
      </c>
      <c r="R18" s="36">
        <f t="shared" si="6"/>
        <v>18.6</v>
      </c>
      <c r="S18" s="321">
        <f>L18/$L$62*100</f>
        <v>0.001498083927958931</v>
      </c>
      <c r="T18" s="322">
        <f>L18-K18-R18</f>
        <v>0</v>
      </c>
      <c r="U18" s="322">
        <f t="shared" si="7"/>
        <v>0</v>
      </c>
      <c r="V18" s="322">
        <f t="shared" si="8"/>
        <v>0</v>
      </c>
      <c r="W18" s="323">
        <f t="shared" si="10"/>
        <v>1.0999999999999996</v>
      </c>
      <c r="X18" s="322">
        <f t="shared" si="11"/>
        <v>0</v>
      </c>
    </row>
    <row r="19" spans="1:24" s="416" customFormat="1" ht="20.25">
      <c r="A19" s="328" t="s">
        <v>130</v>
      </c>
      <c r="B19" s="320">
        <v>14000000</v>
      </c>
      <c r="C19" s="9">
        <f>C22+C20+C21</f>
        <v>126731.30000000002</v>
      </c>
      <c r="D19" s="9">
        <f>D22+D20+D21</f>
        <v>126731.40000000001</v>
      </c>
      <c r="E19" s="6">
        <f t="shared" si="13"/>
        <v>11110.599999999991</v>
      </c>
      <c r="F19" s="6">
        <f t="shared" si="0"/>
        <v>108.76704589391422</v>
      </c>
      <c r="G19" s="9">
        <f aca="true" t="shared" si="18" ref="G19:L19">G22+G20+G21</f>
        <v>145802.80000000002</v>
      </c>
      <c r="H19" s="9">
        <f t="shared" si="18"/>
        <v>85051.5</v>
      </c>
      <c r="I19" s="9">
        <f t="shared" si="18"/>
        <v>77319.6</v>
      </c>
      <c r="J19" s="9">
        <f t="shared" si="18"/>
        <v>66536.2</v>
      </c>
      <c r="K19" s="9">
        <f t="shared" si="18"/>
        <v>58844.6</v>
      </c>
      <c r="L19" s="9">
        <f t="shared" si="18"/>
        <v>137842</v>
      </c>
      <c r="M19" s="9" t="e">
        <f>L19-#REF!</f>
        <v>#REF!</v>
      </c>
      <c r="N19" s="6">
        <f t="shared" si="2"/>
        <v>94.54002255100724</v>
      </c>
      <c r="O19" s="6">
        <f t="shared" si="16"/>
        <v>178.27562480923336</v>
      </c>
      <c r="P19" s="6">
        <f t="shared" si="17"/>
        <v>234.24749254816925</v>
      </c>
      <c r="Q19" s="6">
        <f t="shared" si="5"/>
        <v>60522.399999999994</v>
      </c>
      <c r="R19" s="6">
        <f t="shared" si="6"/>
        <v>78997.4</v>
      </c>
      <c r="S19" s="321">
        <f>L19/$L$62*100</f>
        <v>8.533011768500618</v>
      </c>
      <c r="T19" s="322">
        <f>L19-K19-R19</f>
        <v>0</v>
      </c>
      <c r="U19" s="322">
        <f t="shared" si="7"/>
        <v>0</v>
      </c>
      <c r="V19" s="322">
        <f t="shared" si="8"/>
        <v>0</v>
      </c>
      <c r="W19" s="323">
        <f t="shared" si="10"/>
        <v>7731.899999999994</v>
      </c>
      <c r="X19" s="322">
        <f t="shared" si="11"/>
        <v>7691.5999999999985</v>
      </c>
    </row>
    <row r="20" spans="1:24" s="414" customFormat="1" ht="31.5">
      <c r="A20" s="342" t="s">
        <v>288</v>
      </c>
      <c r="B20" s="325">
        <v>14021900</v>
      </c>
      <c r="C20" s="3">
        <v>11281.3</v>
      </c>
      <c r="D20" s="3">
        <v>11281.3</v>
      </c>
      <c r="E20" s="25">
        <f>L20-D20</f>
        <v>1063.1000000000004</v>
      </c>
      <c r="F20" s="25">
        <f>L20/D20*100</f>
        <v>109.42355934156525</v>
      </c>
      <c r="G20" s="3">
        <f>11200+753.6</f>
        <v>11953.6</v>
      </c>
      <c r="H20" s="3">
        <f>ROUND(G20*$T$6,1)</f>
        <v>6972.9</v>
      </c>
      <c r="I20" s="7">
        <f>ROUND((G20*$T$7+G20*$T$8),1)</f>
        <v>6339</v>
      </c>
      <c r="J20" s="3">
        <v>5392.7</v>
      </c>
      <c r="K20" s="3">
        <v>4985.6</v>
      </c>
      <c r="L20" s="3">
        <v>12344.4</v>
      </c>
      <c r="M20" s="3" t="e">
        <f>L20-#REF!</f>
        <v>#REF!</v>
      </c>
      <c r="N20" s="25">
        <f t="shared" si="2"/>
        <v>103.26930799089813</v>
      </c>
      <c r="O20" s="25">
        <f t="shared" si="16"/>
        <v>194.73734027449123</v>
      </c>
      <c r="P20" s="25">
        <f t="shared" si="17"/>
        <v>247.60109114249036</v>
      </c>
      <c r="Q20" s="25">
        <f t="shared" si="5"/>
        <v>6005.4</v>
      </c>
      <c r="R20" s="25">
        <f t="shared" si="6"/>
        <v>7358.799999999999</v>
      </c>
      <c r="S20" s="347"/>
      <c r="T20" s="348"/>
      <c r="U20" s="348"/>
      <c r="V20" s="348"/>
      <c r="W20" s="323">
        <f t="shared" si="10"/>
        <v>633.8999999999996</v>
      </c>
      <c r="X20" s="322">
        <f t="shared" si="11"/>
        <v>407.09999999999945</v>
      </c>
    </row>
    <row r="21" spans="1:24" s="414" customFormat="1" ht="31.5">
      <c r="A21" s="342" t="s">
        <v>289</v>
      </c>
      <c r="B21" s="325">
        <v>14031900</v>
      </c>
      <c r="C21" s="3">
        <v>43686.4</v>
      </c>
      <c r="D21" s="3">
        <v>43686.5</v>
      </c>
      <c r="E21" s="25">
        <f>L21-D21</f>
        <v>7076.0999999999985</v>
      </c>
      <c r="F21" s="25">
        <f>L21/D21*100</f>
        <v>116.19745230219863</v>
      </c>
      <c r="G21" s="3">
        <f>44320+1932.3</f>
        <v>46252.3</v>
      </c>
      <c r="H21" s="3">
        <f>ROUND(G21*$T$6,1)-0.1</f>
        <v>26980.4</v>
      </c>
      <c r="I21" s="7">
        <f>ROUND((G21*$T$7+G21*$T$8),1)</f>
        <v>24527.7</v>
      </c>
      <c r="J21" s="3">
        <v>21269.2</v>
      </c>
      <c r="K21" s="3">
        <v>19233.9</v>
      </c>
      <c r="L21" s="3">
        <v>50762.6</v>
      </c>
      <c r="M21" s="3" t="e">
        <f>L21-#REF!</f>
        <v>#REF!</v>
      </c>
      <c r="N21" s="25">
        <f t="shared" si="2"/>
        <v>109.75151505979161</v>
      </c>
      <c r="O21" s="25">
        <f t="shared" si="16"/>
        <v>206.96029387182654</v>
      </c>
      <c r="P21" s="25">
        <f t="shared" si="17"/>
        <v>263.9225534083051</v>
      </c>
      <c r="Q21" s="25">
        <f t="shared" si="5"/>
        <v>26234.899999999998</v>
      </c>
      <c r="R21" s="25">
        <f t="shared" si="6"/>
        <v>31528.699999999997</v>
      </c>
      <c r="S21" s="347"/>
      <c r="T21" s="348"/>
      <c r="U21" s="348"/>
      <c r="V21" s="348"/>
      <c r="W21" s="323">
        <f t="shared" si="10"/>
        <v>2452.7000000000007</v>
      </c>
      <c r="X21" s="322">
        <f t="shared" si="11"/>
        <v>2035.2999999999993</v>
      </c>
    </row>
    <row r="22" spans="1:24" s="413" customFormat="1" ht="47.25">
      <c r="A22" s="339" t="s">
        <v>131</v>
      </c>
      <c r="B22" s="325">
        <v>14040000</v>
      </c>
      <c r="C22" s="3">
        <v>71763.6</v>
      </c>
      <c r="D22" s="3">
        <v>71763.6</v>
      </c>
      <c r="E22" s="25">
        <f t="shared" si="13"/>
        <v>2971.399999999994</v>
      </c>
      <c r="F22" s="25">
        <f t="shared" si="0"/>
        <v>104.14053921486659</v>
      </c>
      <c r="G22" s="3">
        <f>90282.8-2685.9</f>
        <v>87596.90000000001</v>
      </c>
      <c r="H22" s="3">
        <f>ROUND(G22*$T$6,1)</f>
        <v>51098.2</v>
      </c>
      <c r="I22" s="7">
        <f>ROUND((G22*$T$7+G22*$T$8),1)</f>
        <v>46452.9</v>
      </c>
      <c r="J22" s="3">
        <v>39874.3</v>
      </c>
      <c r="K22" s="3">
        <v>34625.1</v>
      </c>
      <c r="L22" s="3">
        <v>74735</v>
      </c>
      <c r="M22" s="3" t="e">
        <f>L22-#REF!</f>
        <v>#REF!</v>
      </c>
      <c r="N22" s="25">
        <f t="shared" si="2"/>
        <v>85.31694614763764</v>
      </c>
      <c r="O22" s="25">
        <f t="shared" si="16"/>
        <v>160.8833894116406</v>
      </c>
      <c r="P22" s="25">
        <f t="shared" si="17"/>
        <v>215.84053186850002</v>
      </c>
      <c r="Q22" s="25">
        <f t="shared" si="5"/>
        <v>28282.1</v>
      </c>
      <c r="R22" s="25">
        <f t="shared" si="6"/>
        <v>40109.9</v>
      </c>
      <c r="S22" s="321">
        <f aca="true" t="shared" si="19" ref="S22:S37">L22/$L$62*100</f>
        <v>4.626417452727715</v>
      </c>
      <c r="T22" s="322">
        <f aca="true" t="shared" si="20" ref="T22:T33">L22-K22-R22</f>
        <v>0</v>
      </c>
      <c r="U22" s="322">
        <f aca="true" t="shared" si="21" ref="U22:U64">L22/G22*100-N22</f>
        <v>0</v>
      </c>
      <c r="V22" s="322">
        <f aca="true" t="shared" si="22" ref="V22:V64">L22/I22*100-O22</f>
        <v>0</v>
      </c>
      <c r="W22" s="323">
        <f t="shared" si="10"/>
        <v>4645.299999999996</v>
      </c>
      <c r="X22" s="322">
        <f t="shared" si="11"/>
        <v>5249.200000000004</v>
      </c>
    </row>
    <row r="23" spans="1:24" s="416" customFormat="1" ht="17.25" customHeight="1">
      <c r="A23" s="327" t="s">
        <v>127</v>
      </c>
      <c r="B23" s="320">
        <v>18000000</v>
      </c>
      <c r="C23" s="9">
        <f>SUM(C24:C30)-C24</f>
        <v>323360</v>
      </c>
      <c r="D23" s="9">
        <f>SUM(D24:D30)-D24</f>
        <v>323359.9</v>
      </c>
      <c r="E23" s="6">
        <f t="shared" si="13"/>
        <v>43796.90000000002</v>
      </c>
      <c r="F23" s="6">
        <f t="shared" si="0"/>
        <v>113.54432012132611</v>
      </c>
      <c r="G23" s="9">
        <f aca="true" t="shared" si="23" ref="G23:L23">SUM(G24:G30)-G24</f>
        <v>355847.5</v>
      </c>
      <c r="H23" s="9">
        <f t="shared" si="23"/>
        <v>207577.80000000005</v>
      </c>
      <c r="I23" s="9">
        <f t="shared" si="23"/>
        <v>188707.03999999998</v>
      </c>
      <c r="J23" s="9">
        <f t="shared" si="23"/>
        <v>174062.49999999997</v>
      </c>
      <c r="K23" s="9">
        <f t="shared" si="23"/>
        <v>161921</v>
      </c>
      <c r="L23" s="9">
        <f t="shared" si="23"/>
        <v>367156.80000000005</v>
      </c>
      <c r="M23" s="9" t="e">
        <f>L23-#REF!</f>
        <v>#REF!</v>
      </c>
      <c r="N23" s="6">
        <f t="shared" si="2"/>
        <v>103.17813108143237</v>
      </c>
      <c r="O23" s="6">
        <f t="shared" si="16"/>
        <v>194.56444232287257</v>
      </c>
      <c r="P23" s="6">
        <f t="shared" si="17"/>
        <v>226.7505758981232</v>
      </c>
      <c r="Q23" s="6">
        <f t="shared" si="5"/>
        <v>178449.76000000007</v>
      </c>
      <c r="R23" s="6">
        <f t="shared" si="6"/>
        <v>205235.80000000005</v>
      </c>
      <c r="S23" s="321">
        <f t="shared" si="19"/>
        <v>22.728582690943462</v>
      </c>
      <c r="T23" s="322">
        <f t="shared" si="20"/>
        <v>0</v>
      </c>
      <c r="U23" s="322">
        <f t="shared" si="21"/>
        <v>0</v>
      </c>
      <c r="V23" s="322">
        <f t="shared" si="22"/>
        <v>0</v>
      </c>
      <c r="W23" s="323">
        <f t="shared" si="10"/>
        <v>18870.760000000068</v>
      </c>
      <c r="X23" s="322">
        <f t="shared" si="11"/>
        <v>12141.49999999997</v>
      </c>
    </row>
    <row r="24" spans="1:24" s="413" customFormat="1" ht="29.25" customHeight="1">
      <c r="A24" s="339" t="s">
        <v>132</v>
      </c>
      <c r="B24" s="325">
        <v>18010000</v>
      </c>
      <c r="C24" s="3">
        <f>C25+C26+C27</f>
        <v>170575.5</v>
      </c>
      <c r="D24" s="3">
        <f>D25+D26+D27</f>
        <v>170575.50000000003</v>
      </c>
      <c r="E24" s="25">
        <f t="shared" si="13"/>
        <v>11037.699999999953</v>
      </c>
      <c r="F24" s="25">
        <f t="shared" si="0"/>
        <v>106.47085894515915</v>
      </c>
      <c r="G24" s="3">
        <f aca="true" t="shared" si="24" ref="G24:L24">G25+G26+G27</f>
        <v>173466</v>
      </c>
      <c r="H24" s="3">
        <f t="shared" si="24"/>
        <v>101188.59999999999</v>
      </c>
      <c r="I24" s="3">
        <f t="shared" si="24"/>
        <v>91989.54</v>
      </c>
      <c r="J24" s="3">
        <f t="shared" si="24"/>
        <v>85347.9</v>
      </c>
      <c r="K24" s="3">
        <f t="shared" si="24"/>
        <v>76882.40000000001</v>
      </c>
      <c r="L24" s="3">
        <f t="shared" si="24"/>
        <v>181613.19999999998</v>
      </c>
      <c r="M24" s="3" t="e">
        <f>L24-#REF!</f>
        <v>#REF!</v>
      </c>
      <c r="N24" s="25">
        <f t="shared" si="2"/>
        <v>104.69671290051075</v>
      </c>
      <c r="O24" s="25">
        <f t="shared" si="16"/>
        <v>197.42809889037383</v>
      </c>
      <c r="P24" s="25">
        <f t="shared" si="17"/>
        <v>236.22207423285428</v>
      </c>
      <c r="Q24" s="25">
        <f t="shared" si="5"/>
        <v>89623.65999999999</v>
      </c>
      <c r="R24" s="25">
        <f t="shared" si="6"/>
        <v>104730.79999999997</v>
      </c>
      <c r="S24" s="321">
        <f t="shared" si="19"/>
        <v>11.242637025834334</v>
      </c>
      <c r="T24" s="322">
        <f t="shared" si="20"/>
        <v>0</v>
      </c>
      <c r="U24" s="322">
        <f t="shared" si="21"/>
        <v>0</v>
      </c>
      <c r="V24" s="322">
        <f t="shared" si="22"/>
        <v>0</v>
      </c>
      <c r="W24" s="323">
        <f t="shared" si="10"/>
        <v>9199.059999999998</v>
      </c>
      <c r="X24" s="322">
        <f t="shared" si="11"/>
        <v>8465.499999999985</v>
      </c>
    </row>
    <row r="25" spans="1:24" s="413" customFormat="1" ht="71.25" customHeight="1">
      <c r="A25" s="339" t="s">
        <v>133</v>
      </c>
      <c r="B25" s="346" t="s">
        <v>298</v>
      </c>
      <c r="C25" s="3">
        <v>6769.3</v>
      </c>
      <c r="D25" s="3">
        <v>6769.2</v>
      </c>
      <c r="E25" s="25">
        <f t="shared" si="13"/>
        <v>1633.5999999999995</v>
      </c>
      <c r="F25" s="25">
        <f t="shared" si="0"/>
        <v>124.13283696744075</v>
      </c>
      <c r="G25" s="3">
        <v>7637.4</v>
      </c>
      <c r="H25" s="3">
        <f aca="true" t="shared" si="25" ref="H25:H30">ROUND(G25*$T$6,1)</f>
        <v>4455.2</v>
      </c>
      <c r="I25" s="7">
        <f>ROUND((G25*$T$7+G25*$T$8),2)</f>
        <v>4050.14</v>
      </c>
      <c r="J25" s="3">
        <v>3109.4</v>
      </c>
      <c r="K25" s="3">
        <v>2969.2</v>
      </c>
      <c r="L25" s="3">
        <v>8402.8</v>
      </c>
      <c r="M25" s="3" t="e">
        <f>L25-#REF!</f>
        <v>#REF!</v>
      </c>
      <c r="N25" s="25">
        <f t="shared" si="2"/>
        <v>110.02173514546836</v>
      </c>
      <c r="O25" s="25">
        <f t="shared" si="16"/>
        <v>207.46937142913575</v>
      </c>
      <c r="P25" s="25">
        <f t="shared" si="17"/>
        <v>282.9987875522026</v>
      </c>
      <c r="Q25" s="25">
        <f t="shared" si="5"/>
        <v>4352.66</v>
      </c>
      <c r="R25" s="25">
        <f t="shared" si="6"/>
        <v>5433.599999999999</v>
      </c>
      <c r="S25" s="321">
        <f t="shared" si="19"/>
        <v>0.5201694061922852</v>
      </c>
      <c r="T25" s="322">
        <f t="shared" si="20"/>
        <v>0</v>
      </c>
      <c r="U25" s="322">
        <f t="shared" si="21"/>
        <v>0</v>
      </c>
      <c r="V25" s="322">
        <f t="shared" si="22"/>
        <v>0</v>
      </c>
      <c r="W25" s="323">
        <f t="shared" si="10"/>
        <v>405.05999999999995</v>
      </c>
      <c r="X25" s="322">
        <f t="shared" si="11"/>
        <v>140.20000000000027</v>
      </c>
    </row>
    <row r="26" spans="1:24" s="413" customFormat="1" ht="67.5" customHeight="1">
      <c r="A26" s="339" t="s">
        <v>134</v>
      </c>
      <c r="B26" s="325" t="s">
        <v>135</v>
      </c>
      <c r="C26" s="3">
        <v>162473.1</v>
      </c>
      <c r="D26" s="3">
        <v>162473.1</v>
      </c>
      <c r="E26" s="25">
        <f t="shared" si="13"/>
        <v>9470.799999999988</v>
      </c>
      <c r="F26" s="25">
        <f t="shared" si="0"/>
        <v>105.82914956383549</v>
      </c>
      <c r="G26" s="3">
        <v>164908.6</v>
      </c>
      <c r="H26" s="3">
        <f t="shared" si="25"/>
        <v>96196.7</v>
      </c>
      <c r="I26" s="7">
        <f>ROUND((G26*$T$7+G26*$T$8),1)</f>
        <v>87451.5</v>
      </c>
      <c r="J26" s="3">
        <v>81936.2</v>
      </c>
      <c r="K26" s="3">
        <v>73625.30000000002</v>
      </c>
      <c r="L26" s="3">
        <v>171943.9</v>
      </c>
      <c r="M26" s="3" t="e">
        <f>L26-#REF!</f>
        <v>#REF!</v>
      </c>
      <c r="N26" s="25">
        <f t="shared" si="2"/>
        <v>104.26618138775055</v>
      </c>
      <c r="O26" s="25">
        <f t="shared" si="16"/>
        <v>196.61629588972173</v>
      </c>
      <c r="P26" s="25">
        <f t="shared" si="17"/>
        <v>233.53915026492245</v>
      </c>
      <c r="Q26" s="25">
        <f t="shared" si="5"/>
        <v>84492.4</v>
      </c>
      <c r="R26" s="25">
        <f t="shared" si="6"/>
        <v>98318.59999999998</v>
      </c>
      <c r="S26" s="321">
        <f t="shared" si="19"/>
        <v>10.644065830602381</v>
      </c>
      <c r="T26" s="322">
        <f t="shared" si="20"/>
        <v>0</v>
      </c>
      <c r="U26" s="322">
        <f t="shared" si="21"/>
        <v>0</v>
      </c>
      <c r="V26" s="322">
        <f t="shared" si="22"/>
        <v>0</v>
      </c>
      <c r="W26" s="323">
        <f t="shared" si="10"/>
        <v>8745.199999999997</v>
      </c>
      <c r="X26" s="322">
        <f t="shared" si="11"/>
        <v>8310.89999999998</v>
      </c>
    </row>
    <row r="27" spans="1:24" s="413" customFormat="1" ht="30.75" customHeight="1">
      <c r="A27" s="339" t="s">
        <v>361</v>
      </c>
      <c r="B27" s="325" t="s">
        <v>362</v>
      </c>
      <c r="C27" s="3">
        <v>1333.1</v>
      </c>
      <c r="D27" s="3">
        <v>1333.1999999999998</v>
      </c>
      <c r="E27" s="25">
        <f t="shared" si="13"/>
        <v>-66.69999999999982</v>
      </c>
      <c r="F27" s="25">
        <f t="shared" si="0"/>
        <v>94.99699969997</v>
      </c>
      <c r="G27" s="3">
        <v>920</v>
      </c>
      <c r="H27" s="3">
        <f t="shared" si="25"/>
        <v>536.7</v>
      </c>
      <c r="I27" s="7">
        <f>ROUND((G27*$T$7+G27*$T$8),1)</f>
        <v>487.9</v>
      </c>
      <c r="J27" s="3">
        <v>302.3</v>
      </c>
      <c r="K27" s="3">
        <v>287.9</v>
      </c>
      <c r="L27" s="3">
        <v>1266.5</v>
      </c>
      <c r="M27" s="3" t="e">
        <f>L27-#REF!</f>
        <v>#REF!</v>
      </c>
      <c r="N27" s="25">
        <f t="shared" si="2"/>
        <v>137.66304347826087</v>
      </c>
      <c r="O27" s="25">
        <f t="shared" si="16"/>
        <v>259.58188153310107</v>
      </c>
      <c r="P27" s="25">
        <f t="shared" si="17"/>
        <v>439.9096908648837</v>
      </c>
      <c r="Q27" s="25">
        <f t="shared" si="5"/>
        <v>778.6</v>
      </c>
      <c r="R27" s="25">
        <f t="shared" si="6"/>
        <v>978.6</v>
      </c>
      <c r="S27" s="321">
        <f t="shared" si="19"/>
        <v>0.07840178903966885</v>
      </c>
      <c r="T27" s="322">
        <f t="shared" si="20"/>
        <v>0</v>
      </c>
      <c r="U27" s="322">
        <f t="shared" si="21"/>
        <v>0</v>
      </c>
      <c r="V27" s="322">
        <f t="shared" si="22"/>
        <v>0</v>
      </c>
      <c r="W27" s="323">
        <f t="shared" si="10"/>
        <v>48.80000000000007</v>
      </c>
      <c r="X27" s="322">
        <f t="shared" si="11"/>
        <v>14.400000000000034</v>
      </c>
    </row>
    <row r="28" spans="1:24" s="413" customFormat="1" ht="20.25" customHeight="1">
      <c r="A28" s="339" t="s">
        <v>74</v>
      </c>
      <c r="B28" s="325">
        <v>18030000</v>
      </c>
      <c r="C28" s="3">
        <v>188.9</v>
      </c>
      <c r="D28" s="3">
        <v>188.9</v>
      </c>
      <c r="E28" s="25">
        <f t="shared" si="13"/>
        <v>48.19999999999999</v>
      </c>
      <c r="F28" s="25">
        <f t="shared" si="0"/>
        <v>125.5161461090524</v>
      </c>
      <c r="G28" s="3">
        <v>200</v>
      </c>
      <c r="H28" s="3">
        <f t="shared" si="25"/>
        <v>116.7</v>
      </c>
      <c r="I28" s="7">
        <f>ROUND((G28*$T$7+G28*$T$8),1)</f>
        <v>106.1</v>
      </c>
      <c r="J28" s="3">
        <v>103.4</v>
      </c>
      <c r="K28" s="3">
        <v>90</v>
      </c>
      <c r="L28" s="3">
        <v>237.1</v>
      </c>
      <c r="M28" s="3" t="e">
        <f>L28-#REF!</f>
        <v>#REF!</v>
      </c>
      <c r="N28" s="25">
        <f t="shared" si="2"/>
        <v>118.55</v>
      </c>
      <c r="O28" s="25">
        <f t="shared" si="16"/>
        <v>223.4684260131951</v>
      </c>
      <c r="P28" s="25">
        <f t="shared" si="17"/>
        <v>263.44444444444446</v>
      </c>
      <c r="Q28" s="25">
        <f t="shared" si="5"/>
        <v>131</v>
      </c>
      <c r="R28" s="25">
        <f t="shared" si="6"/>
        <v>147.1</v>
      </c>
      <c r="S28" s="321">
        <f t="shared" si="19"/>
        <v>0.014677508236324898</v>
      </c>
      <c r="T28" s="322">
        <f t="shared" si="20"/>
        <v>0</v>
      </c>
      <c r="U28" s="322">
        <f t="shared" si="21"/>
        <v>0</v>
      </c>
      <c r="V28" s="322">
        <f t="shared" si="22"/>
        <v>0</v>
      </c>
      <c r="W28" s="323">
        <f t="shared" si="10"/>
        <v>10.600000000000009</v>
      </c>
      <c r="X28" s="322">
        <f t="shared" si="11"/>
        <v>13.400000000000006</v>
      </c>
    </row>
    <row r="29" spans="1:24" s="413" customFormat="1" ht="47.25">
      <c r="A29" s="339" t="s">
        <v>128</v>
      </c>
      <c r="B29" s="325" t="s">
        <v>75</v>
      </c>
      <c r="C29" s="3">
        <v>-44.9</v>
      </c>
      <c r="D29" s="3">
        <v>-44.9</v>
      </c>
      <c r="E29" s="25">
        <f t="shared" si="13"/>
        <v>29.9</v>
      </c>
      <c r="F29" s="25">
        <f t="shared" si="0"/>
        <v>33.4075723830735</v>
      </c>
      <c r="G29" s="3"/>
      <c r="H29" s="3">
        <f t="shared" si="25"/>
        <v>0</v>
      </c>
      <c r="I29" s="3">
        <f>ROUND((G29*$T$7+G29*$T$8),1)</f>
        <v>0</v>
      </c>
      <c r="J29" s="3"/>
      <c r="K29" s="3"/>
      <c r="L29" s="3">
        <v>-15</v>
      </c>
      <c r="M29" s="3" t="e">
        <f>L29-#REF!</f>
        <v>#REF!</v>
      </c>
      <c r="N29" s="14" t="e">
        <f t="shared" si="2"/>
        <v>#DIV/0!</v>
      </c>
      <c r="O29" s="14" t="e">
        <f t="shared" si="16"/>
        <v>#DIV/0!</v>
      </c>
      <c r="P29" s="14" t="e">
        <f t="shared" si="17"/>
        <v>#DIV/0!</v>
      </c>
      <c r="Q29" s="25">
        <f t="shared" si="5"/>
        <v>-15</v>
      </c>
      <c r="R29" s="25">
        <f t="shared" si="6"/>
        <v>-15</v>
      </c>
      <c r="S29" s="321">
        <f t="shared" si="19"/>
        <v>-0.0009285644181563622</v>
      </c>
      <c r="T29" s="322">
        <f t="shared" si="20"/>
        <v>0</v>
      </c>
      <c r="U29" s="322" t="e">
        <f t="shared" si="21"/>
        <v>#DIV/0!</v>
      </c>
      <c r="V29" s="322" t="e">
        <f t="shared" si="22"/>
        <v>#DIV/0!</v>
      </c>
      <c r="W29" s="323">
        <f t="shared" si="10"/>
        <v>0</v>
      </c>
      <c r="X29" s="322">
        <f t="shared" si="11"/>
        <v>0</v>
      </c>
    </row>
    <row r="30" spans="1:24" s="413" customFormat="1" ht="24.75" customHeight="1">
      <c r="A30" s="339" t="s">
        <v>136</v>
      </c>
      <c r="B30" s="325">
        <v>18050000</v>
      </c>
      <c r="C30" s="3">
        <v>152640.5</v>
      </c>
      <c r="D30" s="3">
        <v>152640.4</v>
      </c>
      <c r="E30" s="25">
        <f t="shared" si="13"/>
        <v>32681.100000000006</v>
      </c>
      <c r="F30" s="25">
        <f t="shared" si="0"/>
        <v>121.41051779214416</v>
      </c>
      <c r="G30" s="3">
        <v>182181.5</v>
      </c>
      <c r="H30" s="3">
        <f t="shared" si="25"/>
        <v>106272.5</v>
      </c>
      <c r="I30" s="7">
        <f>ROUND((G30*$T$7+G30*$T$8),1)</f>
        <v>96611.4</v>
      </c>
      <c r="J30" s="3">
        <v>88611.2</v>
      </c>
      <c r="K30" s="3">
        <v>84948.6</v>
      </c>
      <c r="L30" s="3">
        <v>185321.5</v>
      </c>
      <c r="M30" s="3" t="e">
        <f>L30-#REF!</f>
        <v>#REF!</v>
      </c>
      <c r="N30" s="25">
        <f t="shared" si="2"/>
        <v>101.723555904414</v>
      </c>
      <c r="O30" s="25">
        <f t="shared" si="16"/>
        <v>191.82156557093677</v>
      </c>
      <c r="P30" s="25">
        <f t="shared" si="17"/>
        <v>218.1572150688769</v>
      </c>
      <c r="Q30" s="25">
        <f t="shared" si="5"/>
        <v>88710.1</v>
      </c>
      <c r="R30" s="25">
        <f t="shared" si="6"/>
        <v>100372.9</v>
      </c>
      <c r="S30" s="321">
        <f t="shared" si="19"/>
        <v>11.472196721290953</v>
      </c>
      <c r="T30" s="322">
        <f t="shared" si="20"/>
        <v>0</v>
      </c>
      <c r="U30" s="322">
        <f t="shared" si="21"/>
        <v>0</v>
      </c>
      <c r="V30" s="322">
        <f t="shared" si="22"/>
        <v>0</v>
      </c>
      <c r="W30" s="323">
        <f t="shared" si="10"/>
        <v>9661.100000000006</v>
      </c>
      <c r="X30" s="322">
        <f t="shared" si="11"/>
        <v>3662.5999999999913</v>
      </c>
    </row>
    <row r="31" spans="1:24" s="416" customFormat="1" ht="23.25" customHeight="1">
      <c r="A31" s="328" t="s">
        <v>77</v>
      </c>
      <c r="B31" s="320">
        <v>20000000</v>
      </c>
      <c r="C31" s="9">
        <f>C32+C42+C51</f>
        <v>79359.79999999999</v>
      </c>
      <c r="D31" s="9">
        <f>D32+D42+D51</f>
        <v>79359.9</v>
      </c>
      <c r="E31" s="6">
        <f t="shared" si="13"/>
        <v>-12542.988889999993</v>
      </c>
      <c r="F31" s="6">
        <f t="shared" si="0"/>
        <v>84.19480255141451</v>
      </c>
      <c r="G31" s="9">
        <f aca="true" t="shared" si="26" ref="G31:L31">G32+G42+G51</f>
        <v>55744.600000000006</v>
      </c>
      <c r="H31" s="9">
        <f t="shared" si="26"/>
        <v>32517.8</v>
      </c>
      <c r="I31" s="9">
        <f t="shared" si="26"/>
        <v>29561.600000000002</v>
      </c>
      <c r="J31" s="9">
        <f t="shared" si="26"/>
        <v>27637.499999999996</v>
      </c>
      <c r="K31" s="9">
        <f t="shared" si="26"/>
        <v>24434.1</v>
      </c>
      <c r="L31" s="9">
        <f t="shared" si="26"/>
        <v>66816.91111</v>
      </c>
      <c r="M31" s="9" t="e">
        <f>L31-#REF!</f>
        <v>#REF!</v>
      </c>
      <c r="N31" s="9">
        <f t="shared" si="2"/>
        <v>119.86257163922602</v>
      </c>
      <c r="O31" s="6">
        <f t="shared" si="16"/>
        <v>226.02603076288153</v>
      </c>
      <c r="P31" s="9">
        <f t="shared" si="17"/>
        <v>273.45763138400844</v>
      </c>
      <c r="Q31" s="6">
        <f t="shared" si="5"/>
        <v>37255.311109999995</v>
      </c>
      <c r="R31" s="6">
        <f t="shared" si="6"/>
        <v>42382.81111</v>
      </c>
      <c r="S31" s="321">
        <f t="shared" si="19"/>
        <v>4.136253745857502</v>
      </c>
      <c r="T31" s="322">
        <f t="shared" si="20"/>
        <v>0</v>
      </c>
      <c r="U31" s="322">
        <f t="shared" si="21"/>
        <v>0</v>
      </c>
      <c r="V31" s="322">
        <f t="shared" si="22"/>
        <v>0</v>
      </c>
      <c r="W31" s="323">
        <f t="shared" si="10"/>
        <v>2956.199999999997</v>
      </c>
      <c r="X31" s="322">
        <f t="shared" si="11"/>
        <v>3203.399999999998</v>
      </c>
    </row>
    <row r="32" spans="1:24" s="416" customFormat="1" ht="31.5">
      <c r="A32" s="328" t="s">
        <v>78</v>
      </c>
      <c r="B32" s="320">
        <v>21000000</v>
      </c>
      <c r="C32" s="9">
        <f>C35+C36+C33</f>
        <v>38180.09999999999</v>
      </c>
      <c r="D32" s="9">
        <f>D35+D36+D33</f>
        <v>38180.09999999999</v>
      </c>
      <c r="E32" s="6">
        <f t="shared" si="13"/>
        <v>-19636.799999999992</v>
      </c>
      <c r="F32" s="6">
        <f t="shared" si="0"/>
        <v>48.56797127299301</v>
      </c>
      <c r="G32" s="9">
        <f aca="true" t="shared" si="27" ref="G32:L32">G35+G36+G33</f>
        <v>10195.8</v>
      </c>
      <c r="H32" s="9">
        <f t="shared" si="27"/>
        <v>5947.6</v>
      </c>
      <c r="I32" s="9">
        <f t="shared" si="27"/>
        <v>5406.8</v>
      </c>
      <c r="J32" s="9">
        <f t="shared" si="27"/>
        <v>6353.3</v>
      </c>
      <c r="K32" s="9">
        <f t="shared" si="27"/>
        <v>5554.5</v>
      </c>
      <c r="L32" s="9">
        <f t="shared" si="27"/>
        <v>18543.3</v>
      </c>
      <c r="M32" s="9" t="e">
        <f>L32-#REF!</f>
        <v>#REF!</v>
      </c>
      <c r="N32" s="9">
        <f t="shared" si="2"/>
        <v>181.8719472724063</v>
      </c>
      <c r="O32" s="6">
        <f t="shared" si="16"/>
        <v>342.9625656580602</v>
      </c>
      <c r="P32" s="9">
        <f t="shared" si="17"/>
        <v>333.8428301377262</v>
      </c>
      <c r="Q32" s="6">
        <f t="shared" si="5"/>
        <v>13136.5</v>
      </c>
      <c r="R32" s="6">
        <f t="shared" si="6"/>
        <v>12988.8</v>
      </c>
      <c r="S32" s="321">
        <f t="shared" si="19"/>
        <v>1.147909905013258</v>
      </c>
      <c r="T32" s="322">
        <f t="shared" si="20"/>
        <v>0</v>
      </c>
      <c r="U32" s="322">
        <f t="shared" si="21"/>
        <v>0</v>
      </c>
      <c r="V32" s="322">
        <f t="shared" si="22"/>
        <v>0</v>
      </c>
      <c r="W32" s="323">
        <f t="shared" si="10"/>
        <v>540.8000000000002</v>
      </c>
      <c r="X32" s="322">
        <f t="shared" si="11"/>
        <v>798.8000000000002</v>
      </c>
    </row>
    <row r="33" spans="1:24" s="413" customFormat="1" ht="110.25">
      <c r="A33" s="342" t="s">
        <v>356</v>
      </c>
      <c r="B33" s="325">
        <v>21010000</v>
      </c>
      <c r="C33" s="3">
        <f>C34</f>
        <v>52.2</v>
      </c>
      <c r="D33" s="3">
        <f>D34</f>
        <v>52.2</v>
      </c>
      <c r="E33" s="25">
        <f t="shared" si="13"/>
        <v>-41.5</v>
      </c>
      <c r="F33" s="25">
        <f t="shared" si="0"/>
        <v>20.498084291187737</v>
      </c>
      <c r="G33" s="3">
        <f aca="true" t="shared" si="28" ref="G33:L33">G34</f>
        <v>79.4</v>
      </c>
      <c r="H33" s="3">
        <f t="shared" si="28"/>
        <v>46.3</v>
      </c>
      <c r="I33" s="3">
        <f t="shared" si="28"/>
        <v>42.1</v>
      </c>
      <c r="J33" s="3">
        <f t="shared" si="28"/>
        <v>58.5</v>
      </c>
      <c r="K33" s="3">
        <f t="shared" si="28"/>
        <v>58.5</v>
      </c>
      <c r="L33" s="3">
        <f t="shared" si="28"/>
        <v>10.7</v>
      </c>
      <c r="M33" s="3" t="e">
        <f>L33-#REF!</f>
        <v>#REF!</v>
      </c>
      <c r="N33" s="3">
        <f t="shared" si="2"/>
        <v>13.476070528967252</v>
      </c>
      <c r="O33" s="25">
        <f t="shared" si="16"/>
        <v>25.415676959619947</v>
      </c>
      <c r="P33" s="3">
        <f t="shared" si="17"/>
        <v>18.29059829059829</v>
      </c>
      <c r="Q33" s="25">
        <f t="shared" si="5"/>
        <v>-31.400000000000002</v>
      </c>
      <c r="R33" s="25">
        <f t="shared" si="6"/>
        <v>-47.8</v>
      </c>
      <c r="S33" s="321">
        <f t="shared" si="19"/>
        <v>0.000662375951618205</v>
      </c>
      <c r="T33" s="322">
        <f t="shared" si="20"/>
        <v>0</v>
      </c>
      <c r="U33" s="322">
        <f t="shared" si="21"/>
        <v>0</v>
      </c>
      <c r="V33" s="322">
        <f t="shared" si="22"/>
        <v>0</v>
      </c>
      <c r="W33" s="323">
        <f t="shared" si="10"/>
        <v>4.199999999999996</v>
      </c>
      <c r="X33" s="322">
        <f t="shared" si="11"/>
        <v>0</v>
      </c>
    </row>
    <row r="34" spans="1:24" s="418" customFormat="1" ht="63">
      <c r="A34" s="343" t="s">
        <v>107</v>
      </c>
      <c r="B34" s="344">
        <v>21010300</v>
      </c>
      <c r="C34" s="8">
        <v>52.2</v>
      </c>
      <c r="D34" s="8">
        <v>52.2</v>
      </c>
      <c r="E34" s="36">
        <f t="shared" si="13"/>
        <v>-41.5</v>
      </c>
      <c r="F34" s="36">
        <f t="shared" si="0"/>
        <v>20.498084291187737</v>
      </c>
      <c r="G34" s="8">
        <v>79.4</v>
      </c>
      <c r="H34" s="3">
        <f>ROUND(G34*$T$6,1)</f>
        <v>46.3</v>
      </c>
      <c r="I34" s="7">
        <f>ROUND((G34*$T$7+G34*$T$8),1)</f>
        <v>42.1</v>
      </c>
      <c r="J34" s="8">
        <v>58.5</v>
      </c>
      <c r="K34" s="8">
        <v>58.5</v>
      </c>
      <c r="L34" s="8">
        <v>10.7</v>
      </c>
      <c r="M34" s="3" t="e">
        <f>L34-#REF!</f>
        <v>#REF!</v>
      </c>
      <c r="N34" s="8">
        <f t="shared" si="2"/>
        <v>13.476070528967252</v>
      </c>
      <c r="O34" s="36">
        <f t="shared" si="16"/>
        <v>25.415676959619947</v>
      </c>
      <c r="P34" s="8">
        <f t="shared" si="17"/>
        <v>18.29059829059829</v>
      </c>
      <c r="Q34" s="36">
        <f t="shared" si="5"/>
        <v>-31.400000000000002</v>
      </c>
      <c r="R34" s="36">
        <f t="shared" si="6"/>
        <v>-47.8</v>
      </c>
      <c r="S34" s="321">
        <f t="shared" si="19"/>
        <v>0.000662375951618205</v>
      </c>
      <c r="T34" s="345">
        <f aca="true" t="shared" si="29" ref="T34:T40">G34*6/12+G34*18/(21*12)</f>
        <v>45.371428571428574</v>
      </c>
      <c r="U34" s="322">
        <f t="shared" si="21"/>
        <v>0</v>
      </c>
      <c r="V34" s="322">
        <f t="shared" si="22"/>
        <v>0</v>
      </c>
      <c r="W34" s="323">
        <f t="shared" si="10"/>
        <v>4.199999999999996</v>
      </c>
      <c r="X34" s="322">
        <f t="shared" si="11"/>
        <v>0</v>
      </c>
    </row>
    <row r="35" spans="1:24" s="416" customFormat="1" ht="31.5">
      <c r="A35" s="328" t="s">
        <v>79</v>
      </c>
      <c r="B35" s="320">
        <v>21050000</v>
      </c>
      <c r="C35" s="9">
        <v>37343.7</v>
      </c>
      <c r="D35" s="9">
        <v>37343.7</v>
      </c>
      <c r="E35" s="6">
        <f t="shared" si="13"/>
        <v>-20693.1</v>
      </c>
      <c r="F35" s="6">
        <f t="shared" si="0"/>
        <v>44.58744045180312</v>
      </c>
      <c r="G35" s="9">
        <f>9200+53.8</f>
        <v>9253.8</v>
      </c>
      <c r="H35" s="9">
        <f>ROUND(G35*$T$6,1)</f>
        <v>5398.1</v>
      </c>
      <c r="I35" s="9">
        <f>ROUND((G35*$T$7+G35*$T$8),1)</f>
        <v>4907.3</v>
      </c>
      <c r="J35" s="9">
        <v>5845.6</v>
      </c>
      <c r="K35" s="9">
        <v>5088.9</v>
      </c>
      <c r="L35" s="9">
        <v>16650.6</v>
      </c>
      <c r="M35" s="9" t="e">
        <f>L35-#REF!</f>
        <v>#REF!</v>
      </c>
      <c r="N35" s="6">
        <f>L35/G35*100</f>
        <v>179.93256824223562</v>
      </c>
      <c r="O35" s="6">
        <f t="shared" si="16"/>
        <v>339.3026715301693</v>
      </c>
      <c r="P35" s="6">
        <f t="shared" si="17"/>
        <v>327.19448210811765</v>
      </c>
      <c r="Q35" s="6">
        <f t="shared" si="5"/>
        <v>11743.3</v>
      </c>
      <c r="R35" s="6">
        <f t="shared" si="6"/>
        <v>11561.699999999999</v>
      </c>
      <c r="S35" s="321">
        <f t="shared" si="19"/>
        <v>1.0307436467302882</v>
      </c>
      <c r="T35" s="345">
        <f t="shared" si="29"/>
        <v>5287.885714285714</v>
      </c>
      <c r="U35" s="322">
        <f t="shared" si="21"/>
        <v>0</v>
      </c>
      <c r="V35" s="322">
        <f t="shared" si="22"/>
        <v>0</v>
      </c>
      <c r="W35" s="323">
        <f t="shared" si="10"/>
        <v>490.8000000000002</v>
      </c>
      <c r="X35" s="322">
        <f t="shared" si="11"/>
        <v>756.7000000000007</v>
      </c>
    </row>
    <row r="36" spans="1:24" s="413" customFormat="1" ht="23.25" customHeight="1">
      <c r="A36" s="342" t="s">
        <v>80</v>
      </c>
      <c r="B36" s="325">
        <v>21080000</v>
      </c>
      <c r="C36" s="3">
        <f>SUM(C37:C41)</f>
        <v>784.1999999999999</v>
      </c>
      <c r="D36" s="3">
        <f>SUM(D37:D41)</f>
        <v>784.1999999999999</v>
      </c>
      <c r="E36" s="25">
        <f t="shared" si="13"/>
        <v>1097.8000000000002</v>
      </c>
      <c r="F36" s="25">
        <f t="shared" si="0"/>
        <v>239.98979852078554</v>
      </c>
      <c r="G36" s="3">
        <f aca="true" t="shared" si="30" ref="G36:L36">SUM(G37:G41)</f>
        <v>862.6</v>
      </c>
      <c r="H36" s="3">
        <f t="shared" si="30"/>
        <v>503.2</v>
      </c>
      <c r="I36" s="3">
        <f t="shared" si="30"/>
        <v>457.4</v>
      </c>
      <c r="J36" s="3">
        <f t="shared" si="30"/>
        <v>449.2</v>
      </c>
      <c r="K36" s="3">
        <f t="shared" si="30"/>
        <v>407.09999999999997</v>
      </c>
      <c r="L36" s="3">
        <f t="shared" si="30"/>
        <v>1882</v>
      </c>
      <c r="M36" s="3" t="e">
        <f>L36-#REF!</f>
        <v>#REF!</v>
      </c>
      <c r="N36" s="3">
        <f t="shared" si="2"/>
        <v>218.17760259680034</v>
      </c>
      <c r="O36" s="25">
        <f t="shared" si="16"/>
        <v>411.4560559685177</v>
      </c>
      <c r="P36" s="3">
        <f t="shared" si="17"/>
        <v>462.2942765905184</v>
      </c>
      <c r="Q36" s="25">
        <f t="shared" si="5"/>
        <v>1424.6</v>
      </c>
      <c r="R36" s="25">
        <f t="shared" si="6"/>
        <v>1474.9</v>
      </c>
      <c r="S36" s="321">
        <f t="shared" si="19"/>
        <v>0.11650388233135159</v>
      </c>
      <c r="T36" s="345">
        <f t="shared" si="29"/>
        <v>492.9142857142857</v>
      </c>
      <c r="U36" s="322">
        <f t="shared" si="21"/>
        <v>0</v>
      </c>
      <c r="V36" s="322">
        <f t="shared" si="22"/>
        <v>0</v>
      </c>
      <c r="W36" s="323">
        <f t="shared" si="10"/>
        <v>45.80000000000001</v>
      </c>
      <c r="X36" s="322">
        <f t="shared" si="11"/>
        <v>42.10000000000002</v>
      </c>
    </row>
    <row r="37" spans="1:24" s="419" customFormat="1" ht="20.25" customHeight="1" hidden="1">
      <c r="A37" s="343" t="s">
        <v>80</v>
      </c>
      <c r="B37" s="344">
        <v>21080500</v>
      </c>
      <c r="C37" s="8"/>
      <c r="D37" s="371">
        <v>0</v>
      </c>
      <c r="E37" s="25">
        <f t="shared" si="13"/>
        <v>0</v>
      </c>
      <c r="F37" s="14" t="e">
        <f t="shared" si="0"/>
        <v>#DIV/0!</v>
      </c>
      <c r="G37" s="8"/>
      <c r="H37" s="8">
        <f>ROUND(G37*$T$6,1)</f>
        <v>0</v>
      </c>
      <c r="I37" s="7">
        <f>ROUND((G37*$T$7+G37*$T$8),1)</f>
        <v>0</v>
      </c>
      <c r="J37" s="8">
        <v>0</v>
      </c>
      <c r="K37" s="8">
        <v>0</v>
      </c>
      <c r="L37" s="8"/>
      <c r="M37" s="3" t="e">
        <f>L37-#REF!</f>
        <v>#REF!</v>
      </c>
      <c r="N37" s="14" t="e">
        <f t="shared" si="2"/>
        <v>#DIV/0!</v>
      </c>
      <c r="O37" s="14" t="e">
        <f t="shared" si="16"/>
        <v>#DIV/0!</v>
      </c>
      <c r="P37" s="14" t="e">
        <f t="shared" si="17"/>
        <v>#DIV/0!</v>
      </c>
      <c r="Q37" s="25">
        <f t="shared" si="5"/>
        <v>0</v>
      </c>
      <c r="R37" s="25">
        <f t="shared" si="6"/>
        <v>0</v>
      </c>
      <c r="S37" s="321">
        <f t="shared" si="19"/>
        <v>0</v>
      </c>
      <c r="T37" s="345">
        <f t="shared" si="29"/>
        <v>0</v>
      </c>
      <c r="U37" s="322" t="e">
        <f t="shared" si="21"/>
        <v>#DIV/0!</v>
      </c>
      <c r="V37" s="322" t="e">
        <f t="shared" si="22"/>
        <v>#DIV/0!</v>
      </c>
      <c r="W37" s="323">
        <f t="shared" si="10"/>
        <v>0</v>
      </c>
      <c r="X37" s="322">
        <f t="shared" si="11"/>
        <v>0</v>
      </c>
    </row>
    <row r="38" spans="1:24" s="419" customFormat="1" ht="78.75">
      <c r="A38" s="343" t="s">
        <v>81</v>
      </c>
      <c r="B38" s="344">
        <v>21080900</v>
      </c>
      <c r="C38" s="8"/>
      <c r="D38" s="371"/>
      <c r="E38" s="25">
        <f>L38-D38</f>
        <v>5.6</v>
      </c>
      <c r="F38" s="14" t="e">
        <f>L38/D38*100</f>
        <v>#DIV/0!</v>
      </c>
      <c r="G38" s="8"/>
      <c r="H38" s="8"/>
      <c r="I38" s="7"/>
      <c r="J38" s="8"/>
      <c r="K38" s="8"/>
      <c r="L38" s="8">
        <v>5.6</v>
      </c>
      <c r="M38" s="3" t="e">
        <f>L38-#REF!</f>
        <v>#REF!</v>
      </c>
      <c r="N38" s="14" t="e">
        <f>L38/G38*100</f>
        <v>#DIV/0!</v>
      </c>
      <c r="O38" s="14" t="e">
        <f>L38/I38*100</f>
        <v>#DIV/0!</v>
      </c>
      <c r="P38" s="14" t="e">
        <f>L38/K38*100</f>
        <v>#DIV/0!</v>
      </c>
      <c r="Q38" s="25">
        <f>L38-I38</f>
        <v>5.6</v>
      </c>
      <c r="R38" s="25">
        <f>L38-K38</f>
        <v>5.6</v>
      </c>
      <c r="S38" s="321"/>
      <c r="T38" s="345"/>
      <c r="U38" s="322"/>
      <c r="V38" s="322"/>
      <c r="W38" s="323"/>
      <c r="X38" s="322"/>
    </row>
    <row r="39" spans="1:24" s="420" customFormat="1" ht="21">
      <c r="A39" s="343" t="s">
        <v>82</v>
      </c>
      <c r="B39" s="344">
        <v>21081100</v>
      </c>
      <c r="C39" s="8">
        <v>610.3</v>
      </c>
      <c r="D39" s="8">
        <v>610.3</v>
      </c>
      <c r="E39" s="8">
        <f t="shared" si="13"/>
        <v>860.5</v>
      </c>
      <c r="F39" s="8">
        <f t="shared" si="0"/>
        <v>240.99623136162543</v>
      </c>
      <c r="G39" s="3">
        <f>621.5+91.1</f>
        <v>712.6</v>
      </c>
      <c r="H39" s="3">
        <f>ROUND(G39*$T$6,1)</f>
        <v>415.7</v>
      </c>
      <c r="I39" s="3">
        <f>ROUND((G39*$T$7+G39*$T$8),1)</f>
        <v>377.9</v>
      </c>
      <c r="J39" s="3">
        <v>385.2</v>
      </c>
      <c r="K39" s="3">
        <v>350.7</v>
      </c>
      <c r="L39" s="3">
        <v>1470.8</v>
      </c>
      <c r="M39" s="3" t="e">
        <f>L39-#REF!</f>
        <v>#REF!</v>
      </c>
      <c r="N39" s="3">
        <f>L39/G39*100</f>
        <v>206.39910188043783</v>
      </c>
      <c r="O39" s="3">
        <f t="shared" si="16"/>
        <v>389.20349298756287</v>
      </c>
      <c r="P39" s="3">
        <f t="shared" si="17"/>
        <v>419.38979184488164</v>
      </c>
      <c r="Q39" s="3">
        <f t="shared" si="5"/>
        <v>1092.9</v>
      </c>
      <c r="R39" s="3">
        <f t="shared" si="6"/>
        <v>1120.1</v>
      </c>
      <c r="S39" s="321">
        <f>L39/$L$62*100</f>
        <v>0.0910488364149585</v>
      </c>
      <c r="T39" s="345">
        <f t="shared" si="29"/>
        <v>407.20000000000005</v>
      </c>
      <c r="U39" s="322">
        <f t="shared" si="21"/>
        <v>0</v>
      </c>
      <c r="V39" s="322">
        <f t="shared" si="22"/>
        <v>0</v>
      </c>
      <c r="W39" s="323">
        <f t="shared" si="10"/>
        <v>37.80000000000001</v>
      </c>
      <c r="X39" s="322">
        <f t="shared" si="11"/>
        <v>34.5</v>
      </c>
    </row>
    <row r="40" spans="1:24" s="420" customFormat="1" ht="63">
      <c r="A40" s="343" t="s">
        <v>144</v>
      </c>
      <c r="B40" s="344">
        <v>21081500</v>
      </c>
      <c r="C40" s="8">
        <v>173.9</v>
      </c>
      <c r="D40" s="8">
        <v>173.9</v>
      </c>
      <c r="E40" s="8">
        <f t="shared" si="13"/>
        <v>224.20000000000002</v>
      </c>
      <c r="F40" s="25">
        <f t="shared" si="0"/>
        <v>228.92466935020127</v>
      </c>
      <c r="G40" s="8">
        <v>150</v>
      </c>
      <c r="H40" s="8">
        <f>ROUND(G40*$T$6,1)</f>
        <v>87.5</v>
      </c>
      <c r="I40" s="7">
        <f>ROUND((G40*$T$7+G40*$T$8),1)</f>
        <v>79.5</v>
      </c>
      <c r="J40" s="8">
        <v>64</v>
      </c>
      <c r="K40" s="8">
        <v>56.4</v>
      </c>
      <c r="L40" s="8">
        <v>398.1</v>
      </c>
      <c r="M40" s="3" t="e">
        <f>L40-#REF!</f>
        <v>#REF!</v>
      </c>
      <c r="N40" s="36">
        <f t="shared" si="2"/>
        <v>265.40000000000003</v>
      </c>
      <c r="O40" s="25">
        <f t="shared" si="16"/>
        <v>500.7547169811321</v>
      </c>
      <c r="P40" s="36">
        <f t="shared" si="17"/>
        <v>705.8510638297873</v>
      </c>
      <c r="Q40" s="25">
        <f t="shared" si="5"/>
        <v>318.6</v>
      </c>
      <c r="R40" s="25">
        <f t="shared" si="6"/>
        <v>341.70000000000005</v>
      </c>
      <c r="S40" s="321">
        <f>L40/$L$62*100</f>
        <v>0.02464409965786985</v>
      </c>
      <c r="T40" s="345">
        <f t="shared" si="29"/>
        <v>85.71428571428571</v>
      </c>
      <c r="U40" s="322">
        <f t="shared" si="21"/>
        <v>0</v>
      </c>
      <c r="V40" s="322">
        <f t="shared" si="22"/>
        <v>0</v>
      </c>
      <c r="W40" s="323">
        <f t="shared" si="10"/>
        <v>8</v>
      </c>
      <c r="X40" s="322">
        <f t="shared" si="11"/>
        <v>7.600000000000001</v>
      </c>
    </row>
    <row r="41" spans="1:24" s="420" customFormat="1" ht="21">
      <c r="A41" s="343" t="s">
        <v>21</v>
      </c>
      <c r="B41" s="344">
        <v>21081700</v>
      </c>
      <c r="C41" s="8"/>
      <c r="D41" s="8"/>
      <c r="E41" s="8">
        <f>L41-D41</f>
        <v>7.5</v>
      </c>
      <c r="F41" s="25"/>
      <c r="G41" s="8"/>
      <c r="H41" s="8"/>
      <c r="I41" s="7"/>
      <c r="J41" s="8"/>
      <c r="K41" s="8"/>
      <c r="L41" s="8">
        <v>7.5</v>
      </c>
      <c r="M41" s="3" t="e">
        <f>L41-#REF!</f>
        <v>#REF!</v>
      </c>
      <c r="N41" s="329" t="e">
        <f>L41/G41*100</f>
        <v>#DIV/0!</v>
      </c>
      <c r="O41" s="256" t="e">
        <f>L41/I41*100</f>
        <v>#DIV/0!</v>
      </c>
      <c r="P41" s="329" t="e">
        <f>L41/K41*100</f>
        <v>#DIV/0!</v>
      </c>
      <c r="Q41" s="25">
        <f>L41-I41</f>
        <v>7.5</v>
      </c>
      <c r="R41" s="25">
        <f>L41-K41</f>
        <v>7.5</v>
      </c>
      <c r="S41" s="321"/>
      <c r="T41" s="345"/>
      <c r="U41" s="322"/>
      <c r="V41" s="322"/>
      <c r="W41" s="323"/>
      <c r="X41" s="322"/>
    </row>
    <row r="42" spans="1:24" s="416" customFormat="1" ht="31.5">
      <c r="A42" s="328" t="s">
        <v>83</v>
      </c>
      <c r="B42" s="320">
        <v>22000000</v>
      </c>
      <c r="C42" s="9">
        <f>C48+C50+C43</f>
        <v>38031.5</v>
      </c>
      <c r="D42" s="9">
        <f>D48+D50+D43</f>
        <v>38031.5</v>
      </c>
      <c r="E42" s="6">
        <f t="shared" si="13"/>
        <v>6266.300000000003</v>
      </c>
      <c r="F42" s="6">
        <f t="shared" si="0"/>
        <v>116.47660491960612</v>
      </c>
      <c r="G42" s="9">
        <f aca="true" t="shared" si="31" ref="G42:L42">G48+G50+G43</f>
        <v>42948.8</v>
      </c>
      <c r="H42" s="9">
        <f t="shared" si="31"/>
        <v>25053.5</v>
      </c>
      <c r="I42" s="9">
        <f t="shared" si="31"/>
        <v>22775.9</v>
      </c>
      <c r="J42" s="9">
        <f t="shared" si="31"/>
        <v>20161.199999999997</v>
      </c>
      <c r="K42" s="9">
        <f>K48+K50+K43</f>
        <v>17849.699999999997</v>
      </c>
      <c r="L42" s="9">
        <f t="shared" si="31"/>
        <v>44297.8</v>
      </c>
      <c r="M42" s="9" t="e">
        <f>L42-#REF!</f>
        <v>#REF!</v>
      </c>
      <c r="N42" s="9">
        <f t="shared" si="2"/>
        <v>103.14094922326117</v>
      </c>
      <c r="O42" s="6">
        <f t="shared" si="16"/>
        <v>194.49418025193296</v>
      </c>
      <c r="P42" s="9">
        <f t="shared" si="17"/>
        <v>248.17111772186652</v>
      </c>
      <c r="Q42" s="6">
        <f t="shared" si="5"/>
        <v>21521.9</v>
      </c>
      <c r="R42" s="6">
        <f t="shared" si="6"/>
        <v>26448.100000000006</v>
      </c>
      <c r="S42" s="321">
        <f aca="true" t="shared" si="32" ref="S42:S54">L42/$L$62*100</f>
        <v>2.7422240588404603</v>
      </c>
      <c r="T42" s="322">
        <f aca="true" t="shared" si="33" ref="T42:T64">L42-K42-R42</f>
        <v>0</v>
      </c>
      <c r="U42" s="322">
        <f t="shared" si="21"/>
        <v>0</v>
      </c>
      <c r="V42" s="322">
        <f t="shared" si="22"/>
        <v>0</v>
      </c>
      <c r="W42" s="323">
        <f t="shared" si="10"/>
        <v>2277.5999999999985</v>
      </c>
      <c r="X42" s="322">
        <f t="shared" si="11"/>
        <v>2311.5</v>
      </c>
    </row>
    <row r="43" spans="1:24" s="413" customFormat="1" ht="20.25">
      <c r="A43" s="342" t="s">
        <v>84</v>
      </c>
      <c r="B43" s="325" t="s">
        <v>85</v>
      </c>
      <c r="C43" s="3">
        <f>C44+C45+C46+C47</f>
        <v>17134.699999999997</v>
      </c>
      <c r="D43" s="3">
        <f>D44+D45+D46+D47</f>
        <v>17134.699999999997</v>
      </c>
      <c r="E43" s="25">
        <f t="shared" si="13"/>
        <v>4960.9000000000015</v>
      </c>
      <c r="F43" s="25">
        <f t="shared" si="0"/>
        <v>128.95235983121972</v>
      </c>
      <c r="G43" s="3">
        <f aca="true" t="shared" si="34" ref="G43:L43">G44+G45+G46+G47</f>
        <v>22488.8</v>
      </c>
      <c r="H43" s="3">
        <f t="shared" si="34"/>
        <v>13118.500000000002</v>
      </c>
      <c r="I43" s="3">
        <f t="shared" si="34"/>
        <v>11925.9</v>
      </c>
      <c r="J43" s="3">
        <f t="shared" si="34"/>
        <v>10764.8</v>
      </c>
      <c r="K43" s="3">
        <f t="shared" si="34"/>
        <v>9521.3</v>
      </c>
      <c r="L43" s="3">
        <f t="shared" si="34"/>
        <v>22095.6</v>
      </c>
      <c r="M43" s="3" t="e">
        <f>L43-#REF!</f>
        <v>#REF!</v>
      </c>
      <c r="N43" s="3">
        <f t="shared" si="2"/>
        <v>98.25157411689374</v>
      </c>
      <c r="O43" s="25">
        <f t="shared" si="16"/>
        <v>185.27406736598496</v>
      </c>
      <c r="P43" s="3">
        <f t="shared" si="17"/>
        <v>232.06494911409155</v>
      </c>
      <c r="Q43" s="25">
        <f t="shared" si="5"/>
        <v>10169.699999999999</v>
      </c>
      <c r="R43" s="25">
        <f t="shared" si="6"/>
        <v>12574.3</v>
      </c>
      <c r="S43" s="321">
        <f t="shared" si="32"/>
        <v>1.3678125305210478</v>
      </c>
      <c r="T43" s="322">
        <f t="shared" si="33"/>
        <v>0</v>
      </c>
      <c r="U43" s="322">
        <f t="shared" si="21"/>
        <v>0</v>
      </c>
      <c r="V43" s="322">
        <f t="shared" si="22"/>
        <v>0</v>
      </c>
      <c r="W43" s="323">
        <f t="shared" si="10"/>
        <v>1192.6000000000022</v>
      </c>
      <c r="X43" s="322">
        <f t="shared" si="11"/>
        <v>1243.5</v>
      </c>
    </row>
    <row r="44" spans="1:24" s="413" customFormat="1" ht="47.25">
      <c r="A44" s="342" t="s">
        <v>294</v>
      </c>
      <c r="B44" s="325">
        <v>22010300</v>
      </c>
      <c r="C44" s="3">
        <v>671.3</v>
      </c>
      <c r="D44" s="3">
        <v>671.3</v>
      </c>
      <c r="E44" s="25">
        <f t="shared" si="13"/>
        <v>188</v>
      </c>
      <c r="F44" s="25">
        <f t="shared" si="0"/>
        <v>128.0053627290332</v>
      </c>
      <c r="G44" s="3">
        <v>710</v>
      </c>
      <c r="H44" s="3">
        <f>ROUND(G44*$T$6,1)</f>
        <v>414.2</v>
      </c>
      <c r="I44" s="7">
        <f>ROUND((G44*$T$7+G44*$T$8),1)</f>
        <v>376.5</v>
      </c>
      <c r="J44" s="3">
        <v>305</v>
      </c>
      <c r="K44" s="3">
        <v>262</v>
      </c>
      <c r="L44" s="3">
        <v>859.3</v>
      </c>
      <c r="M44" s="3" t="e">
        <f>L44-#REF!</f>
        <v>#REF!</v>
      </c>
      <c r="N44" s="3">
        <f t="shared" si="2"/>
        <v>121.02816901408451</v>
      </c>
      <c r="O44" s="25">
        <f t="shared" si="16"/>
        <v>228.2337317397078</v>
      </c>
      <c r="P44" s="3">
        <f t="shared" si="17"/>
        <v>327.9770992366412</v>
      </c>
      <c r="Q44" s="25">
        <f t="shared" si="5"/>
        <v>482.79999999999995</v>
      </c>
      <c r="R44" s="25">
        <f t="shared" si="6"/>
        <v>597.3</v>
      </c>
      <c r="S44" s="321">
        <f t="shared" si="32"/>
        <v>0.0531943603014508</v>
      </c>
      <c r="T44" s="322">
        <f t="shared" si="33"/>
        <v>0</v>
      </c>
      <c r="U44" s="322">
        <f t="shared" si="21"/>
        <v>0</v>
      </c>
      <c r="V44" s="322">
        <f t="shared" si="22"/>
        <v>0</v>
      </c>
      <c r="W44" s="323">
        <f t="shared" si="10"/>
        <v>37.69999999999999</v>
      </c>
      <c r="X44" s="322">
        <f t="shared" si="11"/>
        <v>43</v>
      </c>
    </row>
    <row r="45" spans="1:24" s="417" customFormat="1" ht="31.5">
      <c r="A45" s="343" t="s">
        <v>142</v>
      </c>
      <c r="B45" s="344" t="s">
        <v>143</v>
      </c>
      <c r="C45" s="8">
        <v>15358.4</v>
      </c>
      <c r="D45" s="8">
        <v>15358.4</v>
      </c>
      <c r="E45" s="25">
        <f t="shared" si="13"/>
        <v>3854.1000000000004</v>
      </c>
      <c r="F45" s="25">
        <f t="shared" si="0"/>
        <v>125.09441087613294</v>
      </c>
      <c r="G45" s="8">
        <f>18000+2565.8</f>
        <v>20565.8</v>
      </c>
      <c r="H45" s="8">
        <f>ROUND(G45*$T$6,1)</f>
        <v>11996.7</v>
      </c>
      <c r="I45" s="22">
        <f>ROUND((G45*$T$7+G45*$T$8),1)</f>
        <v>10906.1</v>
      </c>
      <c r="J45" s="8">
        <v>9840.8</v>
      </c>
      <c r="K45" s="8">
        <v>8703.3</v>
      </c>
      <c r="L45" s="8">
        <v>19212.5</v>
      </c>
      <c r="M45" s="3" t="e">
        <f>L45-#REF!</f>
        <v>#REF!</v>
      </c>
      <c r="N45" s="8">
        <f>L45/G45*100</f>
        <v>93.41965787861402</v>
      </c>
      <c r="O45" s="25">
        <f t="shared" si="16"/>
        <v>176.16288132329615</v>
      </c>
      <c r="P45" s="8">
        <f t="shared" si="17"/>
        <v>220.74960072616133</v>
      </c>
      <c r="Q45" s="25">
        <f t="shared" si="5"/>
        <v>8306.4</v>
      </c>
      <c r="R45" s="25">
        <f t="shared" si="6"/>
        <v>10509.2</v>
      </c>
      <c r="S45" s="321">
        <f t="shared" si="32"/>
        <v>1.1893362589219405</v>
      </c>
      <c r="T45" s="322">
        <f t="shared" si="33"/>
        <v>0</v>
      </c>
      <c r="U45" s="322">
        <f t="shared" si="21"/>
        <v>0</v>
      </c>
      <c r="V45" s="322">
        <f t="shared" si="22"/>
        <v>0</v>
      </c>
      <c r="W45" s="323">
        <f t="shared" si="10"/>
        <v>1090.6000000000004</v>
      </c>
      <c r="X45" s="322">
        <f t="shared" si="11"/>
        <v>1137.5</v>
      </c>
    </row>
    <row r="46" spans="1:24" s="417" customFormat="1" ht="47.25">
      <c r="A46" s="343" t="s">
        <v>163</v>
      </c>
      <c r="B46" s="344">
        <v>22012600</v>
      </c>
      <c r="C46" s="8">
        <v>1056</v>
      </c>
      <c r="D46" s="8">
        <v>1056</v>
      </c>
      <c r="E46" s="25">
        <f t="shared" si="13"/>
        <v>855.8</v>
      </c>
      <c r="F46" s="25">
        <f t="shared" si="0"/>
        <v>181.04166666666666</v>
      </c>
      <c r="G46" s="8">
        <f>1100+70</f>
        <v>1170</v>
      </c>
      <c r="H46" s="8">
        <f>ROUND(G46*$T$6,1)</f>
        <v>682.5</v>
      </c>
      <c r="I46" s="22">
        <f>ROUND((G46*$T$7+G46*$T$8),1)</f>
        <v>620.5</v>
      </c>
      <c r="J46" s="8">
        <v>600</v>
      </c>
      <c r="K46" s="8">
        <v>539.5</v>
      </c>
      <c r="L46" s="8">
        <v>1911.8</v>
      </c>
      <c r="M46" s="3" t="e">
        <f>L46-#REF!</f>
        <v>#REF!</v>
      </c>
      <c r="N46" s="8">
        <f>L46/G46*100</f>
        <v>163.40170940170938</v>
      </c>
      <c r="O46" s="25">
        <f t="shared" si="16"/>
        <v>308.1063658340048</v>
      </c>
      <c r="P46" s="8">
        <f t="shared" si="17"/>
        <v>354.3651529193698</v>
      </c>
      <c r="Q46" s="25">
        <f t="shared" si="5"/>
        <v>1291.3</v>
      </c>
      <c r="R46" s="25">
        <f t="shared" si="6"/>
        <v>1372.3</v>
      </c>
      <c r="S46" s="321">
        <f t="shared" si="32"/>
        <v>0.11834863030875556</v>
      </c>
      <c r="T46" s="322">
        <f t="shared" si="33"/>
        <v>0</v>
      </c>
      <c r="U46" s="322">
        <f t="shared" si="21"/>
        <v>0</v>
      </c>
      <c r="V46" s="322">
        <f t="shared" si="22"/>
        <v>0</v>
      </c>
      <c r="W46" s="323">
        <f t="shared" si="10"/>
        <v>62</v>
      </c>
      <c r="X46" s="322">
        <f t="shared" si="11"/>
        <v>60.5</v>
      </c>
    </row>
    <row r="47" spans="1:24" s="417" customFormat="1" ht="126">
      <c r="A47" s="343" t="s">
        <v>295</v>
      </c>
      <c r="B47" s="344">
        <v>22012900</v>
      </c>
      <c r="C47" s="8">
        <v>49</v>
      </c>
      <c r="D47" s="8">
        <v>49</v>
      </c>
      <c r="E47" s="25">
        <f t="shared" si="13"/>
        <v>63</v>
      </c>
      <c r="F47" s="25">
        <f t="shared" si="0"/>
        <v>228.57142857142856</v>
      </c>
      <c r="G47" s="8">
        <v>43</v>
      </c>
      <c r="H47" s="8">
        <f>ROUND(G47*$T$6,1)</f>
        <v>25.1</v>
      </c>
      <c r="I47" s="7">
        <f>ROUND((G47*$T$7+G47*$T$8),1)</f>
        <v>22.8</v>
      </c>
      <c r="J47" s="8">
        <v>19</v>
      </c>
      <c r="K47" s="8">
        <v>16.5</v>
      </c>
      <c r="L47" s="8">
        <v>112</v>
      </c>
      <c r="M47" s="3" t="e">
        <f>L47-#REF!</f>
        <v>#REF!</v>
      </c>
      <c r="N47" s="8">
        <f>L47/G47*100</f>
        <v>260.4651162790698</v>
      </c>
      <c r="O47" s="25">
        <f t="shared" si="16"/>
        <v>491.22807017543863</v>
      </c>
      <c r="P47" s="8">
        <f t="shared" si="17"/>
        <v>678.7878787878788</v>
      </c>
      <c r="Q47" s="25">
        <f t="shared" si="5"/>
        <v>89.2</v>
      </c>
      <c r="R47" s="25">
        <f t="shared" si="6"/>
        <v>95.5</v>
      </c>
      <c r="S47" s="321">
        <f t="shared" si="32"/>
        <v>0.006933280988900838</v>
      </c>
      <c r="T47" s="322">
        <f t="shared" si="33"/>
        <v>0</v>
      </c>
      <c r="U47" s="322">
        <f t="shared" si="21"/>
        <v>0</v>
      </c>
      <c r="V47" s="322">
        <f t="shared" si="22"/>
        <v>0</v>
      </c>
      <c r="W47" s="323">
        <f t="shared" si="10"/>
        <v>2.3000000000000007</v>
      </c>
      <c r="X47" s="322">
        <f t="shared" si="11"/>
        <v>2.5</v>
      </c>
    </row>
    <row r="48" spans="1:24" s="413" customFormat="1" ht="47.25">
      <c r="A48" s="342" t="s">
        <v>86</v>
      </c>
      <c r="B48" s="325">
        <v>22080000</v>
      </c>
      <c r="C48" s="3">
        <f>C49</f>
        <v>20434</v>
      </c>
      <c r="D48" s="3">
        <f>D49</f>
        <v>20434</v>
      </c>
      <c r="E48" s="25">
        <f t="shared" si="13"/>
        <v>1234.2999999999993</v>
      </c>
      <c r="F48" s="25">
        <f t="shared" si="0"/>
        <v>106.04042282470391</v>
      </c>
      <c r="G48" s="3">
        <f aca="true" t="shared" si="35" ref="G48:L48">G49</f>
        <v>20000</v>
      </c>
      <c r="H48" s="3">
        <f t="shared" si="35"/>
        <v>11666.7</v>
      </c>
      <c r="I48" s="3">
        <f t="shared" si="35"/>
        <v>10606.1</v>
      </c>
      <c r="J48" s="3">
        <f t="shared" si="35"/>
        <v>9200</v>
      </c>
      <c r="K48" s="3">
        <f t="shared" si="35"/>
        <v>8150</v>
      </c>
      <c r="L48" s="3">
        <f t="shared" si="35"/>
        <v>21668.3</v>
      </c>
      <c r="M48" s="3" t="e">
        <f>L48-#REF!</f>
        <v>#REF!</v>
      </c>
      <c r="N48" s="3">
        <f aca="true" t="shared" si="36" ref="N48:N94">L48/G48*100</f>
        <v>108.3415</v>
      </c>
      <c r="O48" s="25">
        <f t="shared" si="16"/>
        <v>204.30035545582257</v>
      </c>
      <c r="P48" s="3">
        <f t="shared" si="17"/>
        <v>265.86871165644175</v>
      </c>
      <c r="Q48" s="25">
        <f t="shared" si="5"/>
        <v>11062.199999999999</v>
      </c>
      <c r="R48" s="25">
        <f t="shared" si="6"/>
        <v>13518.3</v>
      </c>
      <c r="S48" s="321">
        <f t="shared" si="32"/>
        <v>1.3413608254625002</v>
      </c>
      <c r="T48" s="322">
        <f t="shared" si="33"/>
        <v>0</v>
      </c>
      <c r="U48" s="322">
        <f t="shared" si="21"/>
        <v>0</v>
      </c>
      <c r="V48" s="322">
        <f t="shared" si="22"/>
        <v>0</v>
      </c>
      <c r="W48" s="323">
        <f t="shared" si="10"/>
        <v>1060.6000000000004</v>
      </c>
      <c r="X48" s="322">
        <f t="shared" si="11"/>
        <v>1050</v>
      </c>
    </row>
    <row r="49" spans="1:24" s="418" customFormat="1" ht="63">
      <c r="A49" s="343" t="s">
        <v>87</v>
      </c>
      <c r="B49" s="344">
        <v>22080401</v>
      </c>
      <c r="C49" s="8">
        <v>20434</v>
      </c>
      <c r="D49" s="3">
        <v>20434</v>
      </c>
      <c r="E49" s="25">
        <f t="shared" si="13"/>
        <v>1234.2999999999993</v>
      </c>
      <c r="F49" s="25">
        <f t="shared" si="0"/>
        <v>106.04042282470391</v>
      </c>
      <c r="G49" s="8">
        <v>20000</v>
      </c>
      <c r="H49" s="3">
        <f>ROUND(G49*$T$6,1)</f>
        <v>11666.7</v>
      </c>
      <c r="I49" s="22">
        <f>ROUND((G49*$T$7+G49*$T$8),1)</f>
        <v>10606.1</v>
      </c>
      <c r="J49" s="8">
        <v>9200</v>
      </c>
      <c r="K49" s="8">
        <v>8150</v>
      </c>
      <c r="L49" s="8">
        <v>21668.3</v>
      </c>
      <c r="M49" s="3" t="e">
        <f>L49-#REF!</f>
        <v>#REF!</v>
      </c>
      <c r="N49" s="36">
        <f t="shared" si="36"/>
        <v>108.3415</v>
      </c>
      <c r="O49" s="25">
        <f t="shared" si="16"/>
        <v>204.30035545582257</v>
      </c>
      <c r="P49" s="36">
        <f t="shared" si="17"/>
        <v>265.86871165644175</v>
      </c>
      <c r="Q49" s="25">
        <f t="shared" si="5"/>
        <v>11062.199999999999</v>
      </c>
      <c r="R49" s="25">
        <f t="shared" si="6"/>
        <v>13518.3</v>
      </c>
      <c r="S49" s="321">
        <f t="shared" si="32"/>
        <v>1.3413608254625002</v>
      </c>
      <c r="T49" s="322">
        <f t="shared" si="33"/>
        <v>0</v>
      </c>
      <c r="U49" s="322">
        <f t="shared" si="21"/>
        <v>0</v>
      </c>
      <c r="V49" s="322">
        <f t="shared" si="22"/>
        <v>0</v>
      </c>
      <c r="W49" s="323">
        <f t="shared" si="10"/>
        <v>1060.6000000000004</v>
      </c>
      <c r="X49" s="322">
        <f t="shared" si="11"/>
        <v>1050</v>
      </c>
    </row>
    <row r="50" spans="1:24" s="413" customFormat="1" ht="22.5" customHeight="1">
      <c r="A50" s="339" t="s">
        <v>88</v>
      </c>
      <c r="B50" s="325">
        <v>22090000</v>
      </c>
      <c r="C50" s="3">
        <v>462.8</v>
      </c>
      <c r="D50" s="3">
        <v>462.8</v>
      </c>
      <c r="E50" s="25">
        <f t="shared" si="13"/>
        <v>71.09999999999997</v>
      </c>
      <c r="F50" s="25">
        <f t="shared" si="0"/>
        <v>115.36300777873811</v>
      </c>
      <c r="G50" s="3">
        <v>460</v>
      </c>
      <c r="H50" s="3">
        <f>ROUND(G50*$T$6,1)</f>
        <v>268.3</v>
      </c>
      <c r="I50" s="7">
        <f>ROUND((G50*$T$7+G50*$T$8),1)</f>
        <v>243.9</v>
      </c>
      <c r="J50" s="3">
        <v>196.4</v>
      </c>
      <c r="K50" s="3">
        <v>178.4</v>
      </c>
      <c r="L50" s="3">
        <v>533.9</v>
      </c>
      <c r="M50" s="3" t="e">
        <f>L50-#REF!</f>
        <v>#REF!</v>
      </c>
      <c r="N50" s="25">
        <f t="shared" si="36"/>
        <v>116.06521739130436</v>
      </c>
      <c r="O50" s="25">
        <f t="shared" si="16"/>
        <v>218.9011890118901</v>
      </c>
      <c r="P50" s="25">
        <f t="shared" si="17"/>
        <v>299.27130044843045</v>
      </c>
      <c r="Q50" s="25">
        <f t="shared" si="5"/>
        <v>290</v>
      </c>
      <c r="R50" s="25">
        <f t="shared" si="6"/>
        <v>355.5</v>
      </c>
      <c r="S50" s="321">
        <f t="shared" si="32"/>
        <v>0.03305070285691212</v>
      </c>
      <c r="T50" s="322">
        <f t="shared" si="33"/>
        <v>0</v>
      </c>
      <c r="U50" s="322">
        <f t="shared" si="21"/>
        <v>0</v>
      </c>
      <c r="V50" s="322">
        <f t="shared" si="22"/>
        <v>0</v>
      </c>
      <c r="W50" s="323">
        <f t="shared" si="10"/>
        <v>24.400000000000006</v>
      </c>
      <c r="X50" s="322">
        <f t="shared" si="11"/>
        <v>18</v>
      </c>
    </row>
    <row r="51" spans="1:24" s="416" customFormat="1" ht="21" customHeight="1">
      <c r="A51" s="328" t="s">
        <v>89</v>
      </c>
      <c r="B51" s="320">
        <v>24000000</v>
      </c>
      <c r="C51" s="9">
        <f>SUM(C52:C56)</f>
        <v>3148.2000000000003</v>
      </c>
      <c r="D51" s="9">
        <f>SUM(D52:D56)</f>
        <v>3148.3</v>
      </c>
      <c r="E51" s="6">
        <f t="shared" si="13"/>
        <v>827.5111099999995</v>
      </c>
      <c r="F51" s="6">
        <f t="shared" si="0"/>
        <v>126.28437918876851</v>
      </c>
      <c r="G51" s="9">
        <f aca="true" t="shared" si="37" ref="G51:L51">SUM(G52:G56)</f>
        <v>2600</v>
      </c>
      <c r="H51" s="9">
        <f t="shared" si="37"/>
        <v>1516.7</v>
      </c>
      <c r="I51" s="9">
        <f t="shared" si="37"/>
        <v>1378.8999999999999</v>
      </c>
      <c r="J51" s="9">
        <f t="shared" si="37"/>
        <v>1123</v>
      </c>
      <c r="K51" s="9">
        <f t="shared" si="37"/>
        <v>1029.8999999999999</v>
      </c>
      <c r="L51" s="9">
        <f t="shared" si="37"/>
        <v>3975.8111099999996</v>
      </c>
      <c r="M51" s="9" t="e">
        <f>L51-#REF!</f>
        <v>#REF!</v>
      </c>
      <c r="N51" s="9">
        <f t="shared" si="36"/>
        <v>152.91581192307692</v>
      </c>
      <c r="O51" s="6">
        <f t="shared" si="16"/>
        <v>288.3320842700703</v>
      </c>
      <c r="P51" s="9">
        <f t="shared" si="17"/>
        <v>386.0385581124381</v>
      </c>
      <c r="Q51" s="6">
        <f t="shared" si="5"/>
        <v>2596.91111</v>
      </c>
      <c r="R51" s="6">
        <f t="shared" si="6"/>
        <v>2945.91111</v>
      </c>
      <c r="S51" s="321">
        <f t="shared" si="32"/>
        <v>0.24611978200378337</v>
      </c>
      <c r="T51" s="322">
        <f t="shared" si="33"/>
        <v>0</v>
      </c>
      <c r="U51" s="322">
        <f t="shared" si="21"/>
        <v>0</v>
      </c>
      <c r="V51" s="322">
        <f t="shared" si="22"/>
        <v>0</v>
      </c>
      <c r="W51" s="323">
        <f t="shared" si="10"/>
        <v>137.80000000000018</v>
      </c>
      <c r="X51" s="322">
        <f t="shared" si="11"/>
        <v>93.10000000000014</v>
      </c>
    </row>
    <row r="52" spans="1:24" s="413" customFormat="1" ht="63">
      <c r="A52" s="340" t="s">
        <v>90</v>
      </c>
      <c r="B52" s="325">
        <v>24030000</v>
      </c>
      <c r="C52" s="3">
        <v>0.4</v>
      </c>
      <c r="D52" s="3">
        <v>0.4</v>
      </c>
      <c r="E52" s="25">
        <f t="shared" si="13"/>
        <v>4.3</v>
      </c>
      <c r="F52" s="25">
        <f t="shared" si="0"/>
        <v>1175</v>
      </c>
      <c r="G52" s="3"/>
      <c r="H52" s="3">
        <f>ROUND(G52*$T$6,1)</f>
        <v>0</v>
      </c>
      <c r="I52" s="7">
        <f>ROUND((G52*$T$7+G52*$T$8),1)</f>
        <v>0</v>
      </c>
      <c r="J52" s="3">
        <v>0</v>
      </c>
      <c r="K52" s="3">
        <v>0</v>
      </c>
      <c r="L52" s="3">
        <v>4.7</v>
      </c>
      <c r="M52" s="3" t="e">
        <f>L52-#REF!</f>
        <v>#REF!</v>
      </c>
      <c r="N52" s="256" t="e">
        <f t="shared" si="36"/>
        <v>#DIV/0!</v>
      </c>
      <c r="O52" s="256" t="e">
        <f t="shared" si="16"/>
        <v>#DIV/0!</v>
      </c>
      <c r="P52" s="256" t="e">
        <f t="shared" si="17"/>
        <v>#DIV/0!</v>
      </c>
      <c r="Q52" s="25">
        <f t="shared" si="5"/>
        <v>4.7</v>
      </c>
      <c r="R52" s="25">
        <f t="shared" si="6"/>
        <v>4.7</v>
      </c>
      <c r="S52" s="321">
        <f t="shared" si="32"/>
        <v>0.0002909501843556602</v>
      </c>
      <c r="T52" s="322">
        <f t="shared" si="33"/>
        <v>0</v>
      </c>
      <c r="U52" s="322" t="e">
        <f t="shared" si="21"/>
        <v>#DIV/0!</v>
      </c>
      <c r="V52" s="322" t="e">
        <f t="shared" si="22"/>
        <v>#DIV/0!</v>
      </c>
      <c r="W52" s="323">
        <f t="shared" si="10"/>
        <v>0</v>
      </c>
      <c r="X52" s="322">
        <f t="shared" si="11"/>
        <v>0</v>
      </c>
    </row>
    <row r="53" spans="1:24" s="421" customFormat="1" ht="18.75" customHeight="1">
      <c r="A53" s="340" t="s">
        <v>80</v>
      </c>
      <c r="B53" s="325">
        <v>24060300</v>
      </c>
      <c r="C53" s="3">
        <v>3032.9</v>
      </c>
      <c r="D53" s="3">
        <v>3033</v>
      </c>
      <c r="E53" s="25">
        <f t="shared" si="13"/>
        <v>836.5</v>
      </c>
      <c r="F53" s="25">
        <f t="shared" si="0"/>
        <v>127.57995384108143</v>
      </c>
      <c r="G53" s="3">
        <v>2600</v>
      </c>
      <c r="H53" s="3">
        <f>ROUND(G53*$T$6,1)</f>
        <v>1516.7</v>
      </c>
      <c r="I53" s="7">
        <f>ROUND((G53*$T$7+G53*$T$8),1)+0.1</f>
        <v>1378.8999999999999</v>
      </c>
      <c r="J53" s="3">
        <v>1123</v>
      </c>
      <c r="K53" s="3">
        <v>1029.8999999999999</v>
      </c>
      <c r="L53" s="3">
        <v>3869.5</v>
      </c>
      <c r="M53" s="3" t="e">
        <f>L53-#REF!</f>
        <v>#REF!</v>
      </c>
      <c r="N53" s="25">
        <f t="shared" si="36"/>
        <v>148.82692307692307</v>
      </c>
      <c r="O53" s="25">
        <f t="shared" si="16"/>
        <v>280.6222351149467</v>
      </c>
      <c r="P53" s="25">
        <f t="shared" si="17"/>
        <v>375.7160889406739</v>
      </c>
      <c r="Q53" s="25">
        <f t="shared" si="5"/>
        <v>2490.6000000000004</v>
      </c>
      <c r="R53" s="25">
        <f t="shared" si="6"/>
        <v>2839.6000000000004</v>
      </c>
      <c r="S53" s="321">
        <f t="shared" si="32"/>
        <v>0.23953866773706958</v>
      </c>
      <c r="T53" s="322">
        <f t="shared" si="33"/>
        <v>0</v>
      </c>
      <c r="U53" s="322">
        <f t="shared" si="21"/>
        <v>0</v>
      </c>
      <c r="V53" s="322">
        <f t="shared" si="22"/>
        <v>0</v>
      </c>
      <c r="W53" s="323">
        <f t="shared" si="10"/>
        <v>137.80000000000018</v>
      </c>
      <c r="X53" s="322">
        <f t="shared" si="11"/>
        <v>93.10000000000014</v>
      </c>
    </row>
    <row r="54" spans="1:24" s="421" customFormat="1" ht="36.75" customHeight="1">
      <c r="A54" s="340" t="s">
        <v>160</v>
      </c>
      <c r="B54" s="325">
        <v>24060600</v>
      </c>
      <c r="C54" s="3">
        <v>0.6</v>
      </c>
      <c r="D54" s="3">
        <v>0.6</v>
      </c>
      <c r="E54" s="25">
        <f t="shared" si="13"/>
        <v>-0.6</v>
      </c>
      <c r="F54" s="256">
        <f t="shared" si="0"/>
        <v>0</v>
      </c>
      <c r="G54" s="3"/>
      <c r="H54" s="3"/>
      <c r="I54" s="3">
        <f>G54*$T$7+G54*$T$8</f>
        <v>0</v>
      </c>
      <c r="J54" s="3"/>
      <c r="K54" s="3"/>
      <c r="L54" s="3">
        <v>0</v>
      </c>
      <c r="M54" s="3" t="e">
        <f>L54-#REF!</f>
        <v>#REF!</v>
      </c>
      <c r="N54" s="14" t="e">
        <f t="shared" si="36"/>
        <v>#DIV/0!</v>
      </c>
      <c r="O54" s="14" t="e">
        <f t="shared" si="16"/>
        <v>#DIV/0!</v>
      </c>
      <c r="P54" s="14" t="e">
        <f t="shared" si="17"/>
        <v>#DIV/0!</v>
      </c>
      <c r="Q54" s="25">
        <f t="shared" si="5"/>
        <v>0</v>
      </c>
      <c r="R54" s="25">
        <f t="shared" si="6"/>
        <v>0</v>
      </c>
      <c r="S54" s="321">
        <f t="shared" si="32"/>
        <v>0</v>
      </c>
      <c r="T54" s="322">
        <f t="shared" si="33"/>
        <v>0</v>
      </c>
      <c r="U54" s="322" t="e">
        <f t="shared" si="21"/>
        <v>#DIV/0!</v>
      </c>
      <c r="V54" s="322" t="e">
        <f t="shared" si="22"/>
        <v>#DIV/0!</v>
      </c>
      <c r="W54" s="323">
        <f t="shared" si="10"/>
        <v>0</v>
      </c>
      <c r="X54" s="322">
        <f t="shared" si="11"/>
        <v>0</v>
      </c>
    </row>
    <row r="55" spans="1:24" s="421" customFormat="1" ht="78.75">
      <c r="A55" s="340" t="s">
        <v>19</v>
      </c>
      <c r="B55" s="325">
        <v>24061900</v>
      </c>
      <c r="C55" s="3"/>
      <c r="D55" s="3"/>
      <c r="E55" s="25">
        <f>L55-D55</f>
        <v>52.41111</v>
      </c>
      <c r="F55" s="25"/>
      <c r="G55" s="3"/>
      <c r="H55" s="3"/>
      <c r="I55" s="7"/>
      <c r="J55" s="3"/>
      <c r="K55" s="3"/>
      <c r="L55" s="3">
        <v>52.41111</v>
      </c>
      <c r="M55" s="3" t="e">
        <f>L55-#REF!</f>
        <v>#REF!</v>
      </c>
      <c r="N55" s="25"/>
      <c r="O55" s="256" t="e">
        <f>L55/I55*100</f>
        <v>#DIV/0!</v>
      </c>
      <c r="P55" s="256" t="e">
        <f>L55/K55*100</f>
        <v>#DIV/0!</v>
      </c>
      <c r="Q55" s="25">
        <f>L55-I55</f>
        <v>52.41111</v>
      </c>
      <c r="R55" s="25">
        <f>L55-K55</f>
        <v>52.41111</v>
      </c>
      <c r="S55" s="321"/>
      <c r="T55" s="322"/>
      <c r="U55" s="322"/>
      <c r="V55" s="322"/>
      <c r="W55" s="323"/>
      <c r="X55" s="322"/>
    </row>
    <row r="56" spans="1:24" s="421" customFormat="1" ht="173.25">
      <c r="A56" s="340" t="s">
        <v>223</v>
      </c>
      <c r="B56" s="325">
        <v>24062200</v>
      </c>
      <c r="C56" s="3">
        <v>114.3</v>
      </c>
      <c r="D56" s="3">
        <v>114.3</v>
      </c>
      <c r="E56" s="25">
        <f t="shared" si="13"/>
        <v>-65.1</v>
      </c>
      <c r="F56" s="256">
        <f t="shared" si="0"/>
        <v>43.04461942257218</v>
      </c>
      <c r="G56" s="3"/>
      <c r="H56" s="3"/>
      <c r="I56" s="3">
        <f>G56*$T$7+G56*$T$8</f>
        <v>0</v>
      </c>
      <c r="J56" s="3"/>
      <c r="K56" s="3"/>
      <c r="L56" s="3">
        <v>49.2</v>
      </c>
      <c r="M56" s="3" t="e">
        <f>L56-#REF!</f>
        <v>#REF!</v>
      </c>
      <c r="N56" s="14" t="e">
        <f t="shared" si="36"/>
        <v>#DIV/0!</v>
      </c>
      <c r="O56" s="14" t="e">
        <f t="shared" si="16"/>
        <v>#DIV/0!</v>
      </c>
      <c r="P56" s="14" t="e">
        <f t="shared" si="17"/>
        <v>#DIV/0!</v>
      </c>
      <c r="Q56" s="25">
        <f t="shared" si="5"/>
        <v>49.2</v>
      </c>
      <c r="R56" s="25">
        <f t="shared" si="6"/>
        <v>49.2</v>
      </c>
      <c r="S56" s="321">
        <f aca="true" t="shared" si="38" ref="S56:S62">L56/$L$62*100</f>
        <v>0.0030456912915528683</v>
      </c>
      <c r="T56" s="322">
        <f t="shared" si="33"/>
        <v>0</v>
      </c>
      <c r="U56" s="322" t="e">
        <f t="shared" si="21"/>
        <v>#DIV/0!</v>
      </c>
      <c r="V56" s="322" t="e">
        <f t="shared" si="22"/>
        <v>#DIV/0!</v>
      </c>
      <c r="W56" s="323">
        <f t="shared" si="10"/>
        <v>0</v>
      </c>
      <c r="X56" s="322">
        <f t="shared" si="11"/>
        <v>0</v>
      </c>
    </row>
    <row r="57" spans="1:24" s="422" customFormat="1" ht="18.75" customHeight="1">
      <c r="A57" s="331" t="s">
        <v>92</v>
      </c>
      <c r="B57" s="332">
        <v>30000000</v>
      </c>
      <c r="C57" s="9">
        <f>C58</f>
        <v>8.1</v>
      </c>
      <c r="D57" s="9">
        <f>D58</f>
        <v>8.1</v>
      </c>
      <c r="E57" s="6">
        <f t="shared" si="13"/>
        <v>-4.199999999999999</v>
      </c>
      <c r="F57" s="6">
        <f t="shared" si="0"/>
        <v>48.14814814814815</v>
      </c>
      <c r="G57" s="9">
        <f aca="true" t="shared" si="39" ref="G57:L57">G58</f>
        <v>20</v>
      </c>
      <c r="H57" s="9">
        <f t="shared" si="39"/>
        <v>11.700000000000001</v>
      </c>
      <c r="I57" s="9">
        <f t="shared" si="39"/>
        <v>10.7</v>
      </c>
      <c r="J57" s="9">
        <f t="shared" si="39"/>
        <v>2.3</v>
      </c>
      <c r="K57" s="9">
        <f t="shared" si="39"/>
        <v>2.3</v>
      </c>
      <c r="L57" s="9">
        <f t="shared" si="39"/>
        <v>3.9</v>
      </c>
      <c r="M57" s="9" t="e">
        <f>L57-#REF!</f>
        <v>#REF!</v>
      </c>
      <c r="N57" s="6">
        <f t="shared" si="36"/>
        <v>19.5</v>
      </c>
      <c r="O57" s="6">
        <f t="shared" si="16"/>
        <v>36.44859813084113</v>
      </c>
      <c r="P57" s="6">
        <f t="shared" si="17"/>
        <v>169.56521739130437</v>
      </c>
      <c r="Q57" s="6">
        <f t="shared" si="5"/>
        <v>-6.799999999999999</v>
      </c>
      <c r="R57" s="6">
        <f t="shared" si="6"/>
        <v>1.6</v>
      </c>
      <c r="S57" s="321">
        <f t="shared" si="38"/>
        <v>0.00024142674872065415</v>
      </c>
      <c r="T57" s="322">
        <f t="shared" si="33"/>
        <v>0</v>
      </c>
      <c r="U57" s="322">
        <f t="shared" si="21"/>
        <v>0</v>
      </c>
      <c r="V57" s="322">
        <f t="shared" si="22"/>
        <v>0</v>
      </c>
      <c r="W57" s="323">
        <f t="shared" si="10"/>
        <v>1.0000000000000018</v>
      </c>
      <c r="X57" s="322">
        <f t="shared" si="11"/>
        <v>0</v>
      </c>
    </row>
    <row r="58" spans="1:24" s="422" customFormat="1" ht="31.5">
      <c r="A58" s="333" t="s">
        <v>93</v>
      </c>
      <c r="B58" s="334">
        <v>31000000</v>
      </c>
      <c r="C58" s="9">
        <f>C61+C60</f>
        <v>8.1</v>
      </c>
      <c r="D58" s="9">
        <f>D61+D60</f>
        <v>8.1</v>
      </c>
      <c r="E58" s="6">
        <f t="shared" si="13"/>
        <v>-4.199999999999999</v>
      </c>
      <c r="F58" s="6">
        <f t="shared" si="0"/>
        <v>48.14814814814815</v>
      </c>
      <c r="G58" s="9">
        <f aca="true" t="shared" si="40" ref="G58:L58">G61+G60</f>
        <v>20</v>
      </c>
      <c r="H58" s="9">
        <f t="shared" si="40"/>
        <v>11.700000000000001</v>
      </c>
      <c r="I58" s="9">
        <f t="shared" si="40"/>
        <v>10.7</v>
      </c>
      <c r="J58" s="9">
        <f t="shared" si="40"/>
        <v>2.3</v>
      </c>
      <c r="K58" s="9">
        <f>K61+K60</f>
        <v>2.3</v>
      </c>
      <c r="L58" s="9">
        <f t="shared" si="40"/>
        <v>3.9</v>
      </c>
      <c r="M58" s="9" t="e">
        <f>L58-#REF!</f>
        <v>#REF!</v>
      </c>
      <c r="N58" s="6">
        <f t="shared" si="36"/>
        <v>19.5</v>
      </c>
      <c r="O58" s="6">
        <f t="shared" si="16"/>
        <v>36.44859813084113</v>
      </c>
      <c r="P58" s="6">
        <f t="shared" si="17"/>
        <v>169.56521739130437</v>
      </c>
      <c r="Q58" s="6">
        <f t="shared" si="5"/>
        <v>-6.799999999999999</v>
      </c>
      <c r="R58" s="6">
        <f t="shared" si="6"/>
        <v>1.6</v>
      </c>
      <c r="S58" s="321">
        <f t="shared" si="38"/>
        <v>0.00024142674872065415</v>
      </c>
      <c r="T58" s="322">
        <f t="shared" si="33"/>
        <v>0</v>
      </c>
      <c r="U58" s="322">
        <f t="shared" si="21"/>
        <v>0</v>
      </c>
      <c r="V58" s="322">
        <f t="shared" si="22"/>
        <v>0</v>
      </c>
      <c r="W58" s="323">
        <f t="shared" si="10"/>
        <v>1.0000000000000018</v>
      </c>
      <c r="X58" s="322">
        <f t="shared" si="11"/>
        <v>0</v>
      </c>
    </row>
    <row r="59" spans="1:24" s="423" customFormat="1" ht="94.5">
      <c r="A59" s="335" t="s">
        <v>94</v>
      </c>
      <c r="B59" s="325">
        <v>31010000</v>
      </c>
      <c r="C59" s="3">
        <f>C60</f>
        <v>0.9</v>
      </c>
      <c r="D59" s="3">
        <f>D60</f>
        <v>0.9</v>
      </c>
      <c r="E59" s="25">
        <f t="shared" si="13"/>
        <v>-0.9</v>
      </c>
      <c r="F59" s="25">
        <f t="shared" si="0"/>
        <v>0</v>
      </c>
      <c r="G59" s="3">
        <f aca="true" t="shared" si="41" ref="G59:L59">G60</f>
        <v>15</v>
      </c>
      <c r="H59" s="3">
        <f t="shared" si="41"/>
        <v>8.8</v>
      </c>
      <c r="I59" s="3">
        <f t="shared" si="41"/>
        <v>8</v>
      </c>
      <c r="J59" s="3">
        <f t="shared" si="41"/>
        <v>0</v>
      </c>
      <c r="K59" s="3">
        <f t="shared" si="41"/>
        <v>0</v>
      </c>
      <c r="L59" s="3">
        <f t="shared" si="41"/>
        <v>0</v>
      </c>
      <c r="M59" s="3" t="e">
        <f>L59-#REF!</f>
        <v>#REF!</v>
      </c>
      <c r="N59" s="25">
        <f t="shared" si="36"/>
        <v>0</v>
      </c>
      <c r="O59" s="25">
        <f t="shared" si="16"/>
        <v>0</v>
      </c>
      <c r="P59" s="256" t="e">
        <f t="shared" si="17"/>
        <v>#DIV/0!</v>
      </c>
      <c r="Q59" s="25">
        <f t="shared" si="5"/>
        <v>-8</v>
      </c>
      <c r="R59" s="25">
        <f t="shared" si="6"/>
        <v>0</v>
      </c>
      <c r="S59" s="321">
        <f t="shared" si="38"/>
        <v>0</v>
      </c>
      <c r="T59" s="322">
        <f t="shared" si="33"/>
        <v>0</v>
      </c>
      <c r="U59" s="322">
        <f t="shared" si="21"/>
        <v>0</v>
      </c>
      <c r="V59" s="322">
        <f t="shared" si="22"/>
        <v>0</v>
      </c>
      <c r="W59" s="323">
        <f t="shared" si="10"/>
        <v>0.8000000000000007</v>
      </c>
      <c r="X59" s="322">
        <f t="shared" si="11"/>
        <v>0</v>
      </c>
    </row>
    <row r="60" spans="1:24" s="424" customFormat="1" ht="94.5">
      <c r="A60" s="336" t="s">
        <v>95</v>
      </c>
      <c r="B60" s="337">
        <v>31010200</v>
      </c>
      <c r="C60" s="8">
        <v>0.9</v>
      </c>
      <c r="D60" s="8">
        <v>0.9</v>
      </c>
      <c r="E60" s="25">
        <f t="shared" si="13"/>
        <v>-0.9</v>
      </c>
      <c r="F60" s="25">
        <f t="shared" si="0"/>
        <v>0</v>
      </c>
      <c r="G60" s="8">
        <v>15</v>
      </c>
      <c r="H60" s="8">
        <f>ROUND(G60*$T$6,1)</f>
        <v>8.8</v>
      </c>
      <c r="I60" s="7">
        <f>ROUND((G60*$T$7+G60*$T$8),1)</f>
        <v>8</v>
      </c>
      <c r="J60" s="8">
        <v>0</v>
      </c>
      <c r="K60" s="8">
        <v>0</v>
      </c>
      <c r="L60" s="8">
        <v>0</v>
      </c>
      <c r="M60" s="252" t="e">
        <f>L60-#REF!</f>
        <v>#REF!</v>
      </c>
      <c r="N60" s="36">
        <f t="shared" si="36"/>
        <v>0</v>
      </c>
      <c r="O60" s="25">
        <f t="shared" si="16"/>
        <v>0</v>
      </c>
      <c r="P60" s="329" t="e">
        <f t="shared" si="17"/>
        <v>#DIV/0!</v>
      </c>
      <c r="Q60" s="25">
        <f t="shared" si="5"/>
        <v>-8</v>
      </c>
      <c r="R60" s="25">
        <f t="shared" si="6"/>
        <v>0</v>
      </c>
      <c r="S60" s="321">
        <f t="shared" si="38"/>
        <v>0</v>
      </c>
      <c r="T60" s="322">
        <f t="shared" si="33"/>
        <v>0</v>
      </c>
      <c r="U60" s="322">
        <f t="shared" si="21"/>
        <v>0</v>
      </c>
      <c r="V60" s="322">
        <f t="shared" si="22"/>
        <v>0</v>
      </c>
      <c r="W60" s="323">
        <f t="shared" si="10"/>
        <v>0.8000000000000007</v>
      </c>
      <c r="X60" s="322">
        <f t="shared" si="11"/>
        <v>0</v>
      </c>
    </row>
    <row r="61" spans="1:24" s="423" customFormat="1" ht="31.5">
      <c r="A61" s="335" t="s">
        <v>96</v>
      </c>
      <c r="B61" s="338">
        <v>31020000</v>
      </c>
      <c r="C61" s="3">
        <v>7.2</v>
      </c>
      <c r="D61" s="3">
        <v>7.2</v>
      </c>
      <c r="E61" s="25">
        <f t="shared" si="13"/>
        <v>-3.3000000000000003</v>
      </c>
      <c r="F61" s="25">
        <f t="shared" si="0"/>
        <v>54.166666666666664</v>
      </c>
      <c r="G61" s="3">
        <v>5</v>
      </c>
      <c r="H61" s="3">
        <f>ROUND(G61*$T$6,1)</f>
        <v>2.9</v>
      </c>
      <c r="I61" s="7">
        <f>ROUND((G61*$T$7+G61*$T$8),1)</f>
        <v>2.7</v>
      </c>
      <c r="J61" s="3">
        <v>2.3</v>
      </c>
      <c r="K61" s="3">
        <v>2.3</v>
      </c>
      <c r="L61" s="3">
        <v>3.9</v>
      </c>
      <c r="M61" s="3" t="e">
        <f>L61-#REF!</f>
        <v>#REF!</v>
      </c>
      <c r="N61" s="25">
        <f t="shared" si="36"/>
        <v>78</v>
      </c>
      <c r="O61" s="25">
        <f t="shared" si="16"/>
        <v>144.44444444444443</v>
      </c>
      <c r="P61" s="25">
        <f t="shared" si="17"/>
        <v>169.56521739130437</v>
      </c>
      <c r="Q61" s="3">
        <f t="shared" si="5"/>
        <v>1.1999999999999997</v>
      </c>
      <c r="R61" s="3">
        <f t="shared" si="6"/>
        <v>1.6</v>
      </c>
      <c r="S61" s="321">
        <f t="shared" si="38"/>
        <v>0.00024142674872065415</v>
      </c>
      <c r="T61" s="322">
        <f t="shared" si="33"/>
        <v>0</v>
      </c>
      <c r="U61" s="322">
        <f t="shared" si="21"/>
        <v>0</v>
      </c>
      <c r="V61" s="322">
        <f t="shared" si="22"/>
        <v>0</v>
      </c>
      <c r="W61" s="323">
        <f t="shared" si="10"/>
        <v>0.19999999999999973</v>
      </c>
      <c r="X61" s="322">
        <f t="shared" si="11"/>
        <v>0</v>
      </c>
    </row>
    <row r="62" spans="1:24" s="425" customFormat="1" ht="21" customHeight="1">
      <c r="A62" s="398" t="s">
        <v>97</v>
      </c>
      <c r="B62" s="393"/>
      <c r="C62" s="205">
        <f>C8+C31+C57</f>
        <v>1374374.6</v>
      </c>
      <c r="D62" s="205">
        <f>D8+D31+D57</f>
        <v>1374374.7</v>
      </c>
      <c r="E62" s="205">
        <f t="shared" si="13"/>
        <v>241022.11110999994</v>
      </c>
      <c r="F62" s="205">
        <f t="shared" si="0"/>
        <v>117.5368559323742</v>
      </c>
      <c r="G62" s="205">
        <f aca="true" t="shared" si="42" ref="G62:L62">G8+G31+G57</f>
        <v>1591787.6</v>
      </c>
      <c r="H62" s="205">
        <f t="shared" si="42"/>
        <v>928542.8</v>
      </c>
      <c r="I62" s="205">
        <f t="shared" si="42"/>
        <v>844129.8399999999</v>
      </c>
      <c r="J62" s="205">
        <f t="shared" si="42"/>
        <v>762223.9</v>
      </c>
      <c r="K62" s="205">
        <f t="shared" si="42"/>
        <v>683491.3</v>
      </c>
      <c r="L62" s="205">
        <f t="shared" si="42"/>
        <v>1615396.81111</v>
      </c>
      <c r="M62" s="205" t="e">
        <f>L62-#REF!</f>
        <v>#REF!</v>
      </c>
      <c r="N62" s="205">
        <f t="shared" si="36"/>
        <v>101.48318853030392</v>
      </c>
      <c r="O62" s="203">
        <f t="shared" si="16"/>
        <v>191.36828655530056</v>
      </c>
      <c r="P62" s="205">
        <f t="shared" si="17"/>
        <v>236.3448973103242</v>
      </c>
      <c r="Q62" s="203">
        <f t="shared" si="5"/>
        <v>771266.97111</v>
      </c>
      <c r="R62" s="203">
        <f t="shared" si="6"/>
        <v>931905.5111099998</v>
      </c>
      <c r="S62" s="394">
        <f t="shared" si="38"/>
        <v>100</v>
      </c>
      <c r="T62" s="395">
        <f t="shared" si="33"/>
        <v>0</v>
      </c>
      <c r="U62" s="395">
        <f t="shared" si="21"/>
        <v>0</v>
      </c>
      <c r="V62" s="395">
        <f t="shared" si="22"/>
        <v>0</v>
      </c>
      <c r="W62" s="396">
        <f t="shared" si="10"/>
        <v>84412.9600000002</v>
      </c>
      <c r="X62" s="395">
        <f t="shared" si="11"/>
        <v>78732.59999999998</v>
      </c>
    </row>
    <row r="63" spans="1:24" s="425" customFormat="1" ht="20.25" customHeight="1">
      <c r="A63" s="397" t="s">
        <v>98</v>
      </c>
      <c r="B63" s="393">
        <v>40000000</v>
      </c>
      <c r="C63" s="205">
        <f>C64</f>
        <v>1393975.4</v>
      </c>
      <c r="D63" s="205">
        <f>D64</f>
        <v>1379424.7</v>
      </c>
      <c r="E63" s="205">
        <f t="shared" si="13"/>
        <v>212861.8943299998</v>
      </c>
      <c r="F63" s="205">
        <f t="shared" si="0"/>
        <v>115.4312079760497</v>
      </c>
      <c r="G63" s="205">
        <f aca="true" t="shared" si="43" ref="G63:L63">G64</f>
        <v>1669738.7</v>
      </c>
      <c r="H63" s="205">
        <f t="shared" si="43"/>
        <v>974014.2000000002</v>
      </c>
      <c r="I63" s="205">
        <f t="shared" si="43"/>
        <v>885467.5</v>
      </c>
      <c r="J63" s="205">
        <f t="shared" si="43"/>
        <v>1134001.9999999998</v>
      </c>
      <c r="K63" s="205">
        <f t="shared" si="43"/>
        <v>1082932.6</v>
      </c>
      <c r="L63" s="205">
        <f t="shared" si="43"/>
        <v>1592286.5943299998</v>
      </c>
      <c r="M63" s="205" t="e">
        <f>L63-#REF!</f>
        <v>#REF!</v>
      </c>
      <c r="N63" s="205">
        <f t="shared" si="36"/>
        <v>95.36142357663506</v>
      </c>
      <c r="O63" s="203">
        <f t="shared" si="16"/>
        <v>179.82439720599567</v>
      </c>
      <c r="P63" s="205">
        <f t="shared" si="17"/>
        <v>147.0346902780468</v>
      </c>
      <c r="Q63" s="203">
        <f t="shared" si="5"/>
        <v>706819.0943299998</v>
      </c>
      <c r="R63" s="203">
        <f t="shared" si="6"/>
        <v>509353.99432999967</v>
      </c>
      <c r="S63" s="394">
        <f>L63-I63-Q63</f>
        <v>0</v>
      </c>
      <c r="T63" s="395">
        <f t="shared" si="33"/>
        <v>0</v>
      </c>
      <c r="U63" s="395">
        <f t="shared" si="21"/>
        <v>0</v>
      </c>
      <c r="V63" s="395">
        <f t="shared" si="22"/>
        <v>0</v>
      </c>
      <c r="W63" s="396">
        <f t="shared" si="10"/>
        <v>88546.70000000019</v>
      </c>
      <c r="X63" s="395">
        <f t="shared" si="11"/>
        <v>51069.399999999674</v>
      </c>
    </row>
    <row r="64" spans="1:24" s="416" customFormat="1" ht="32.25" customHeight="1">
      <c r="A64" s="326" t="s">
        <v>99</v>
      </c>
      <c r="B64" s="320">
        <v>41000000</v>
      </c>
      <c r="C64" s="9">
        <f>C71+C69+C65</f>
        <v>1393975.4</v>
      </c>
      <c r="D64" s="9">
        <f>D71+D69+D65</f>
        <v>1379424.7</v>
      </c>
      <c r="E64" s="9">
        <f t="shared" si="13"/>
        <v>212861.8943299998</v>
      </c>
      <c r="F64" s="9">
        <f t="shared" si="0"/>
        <v>115.4312079760497</v>
      </c>
      <c r="G64" s="9">
        <f aca="true" t="shared" si="44" ref="G64:L64">G71+G69+G65</f>
        <v>1669738.7</v>
      </c>
      <c r="H64" s="9">
        <f t="shared" si="44"/>
        <v>974014.2000000002</v>
      </c>
      <c r="I64" s="9">
        <f t="shared" si="44"/>
        <v>885467.5</v>
      </c>
      <c r="J64" s="9">
        <f t="shared" si="44"/>
        <v>1134001.9999999998</v>
      </c>
      <c r="K64" s="9">
        <f t="shared" si="44"/>
        <v>1082932.6</v>
      </c>
      <c r="L64" s="9">
        <f t="shared" si="44"/>
        <v>1592286.5943299998</v>
      </c>
      <c r="M64" s="9" t="e">
        <f>L64-#REF!</f>
        <v>#REF!</v>
      </c>
      <c r="N64" s="9">
        <f t="shared" si="36"/>
        <v>95.36142357663506</v>
      </c>
      <c r="O64" s="6">
        <f t="shared" si="16"/>
        <v>179.82439720599567</v>
      </c>
      <c r="P64" s="9">
        <f t="shared" si="17"/>
        <v>147.0346902780468</v>
      </c>
      <c r="Q64" s="6">
        <f t="shared" si="5"/>
        <v>706819.0943299998</v>
      </c>
      <c r="R64" s="6">
        <f t="shared" si="6"/>
        <v>509353.99432999967</v>
      </c>
      <c r="S64" s="321">
        <f>L64-I64-Q64</f>
        <v>0</v>
      </c>
      <c r="T64" s="322">
        <f t="shared" si="33"/>
        <v>0</v>
      </c>
      <c r="U64" s="322">
        <f t="shared" si="21"/>
        <v>0</v>
      </c>
      <c r="V64" s="322">
        <f t="shared" si="22"/>
        <v>0</v>
      </c>
      <c r="W64" s="323">
        <f t="shared" si="10"/>
        <v>88546.70000000019</v>
      </c>
      <c r="X64" s="322">
        <f t="shared" si="11"/>
        <v>51069.399999999674</v>
      </c>
    </row>
    <row r="65" spans="1:24" s="416" customFormat="1" ht="31.5">
      <c r="A65" s="319" t="s">
        <v>363</v>
      </c>
      <c r="B65" s="320">
        <v>41030000</v>
      </c>
      <c r="C65" s="9">
        <f>C67+C68+C66</f>
        <v>450651.4</v>
      </c>
      <c r="D65" s="9">
        <f>D67+D68+D66</f>
        <v>450651.4</v>
      </c>
      <c r="E65" s="9">
        <f t="shared" si="13"/>
        <v>47220.5</v>
      </c>
      <c r="F65" s="9">
        <f t="shared" si="0"/>
        <v>110.4782765570017</v>
      </c>
      <c r="G65" s="9">
        <f aca="true" t="shared" si="45" ref="G65:L65">G67+G68+G66</f>
        <v>493295</v>
      </c>
      <c r="H65" s="9">
        <f t="shared" si="45"/>
        <v>287755.50000000006</v>
      </c>
      <c r="I65" s="9">
        <f t="shared" si="45"/>
        <v>261595.8</v>
      </c>
      <c r="J65" s="9">
        <f t="shared" si="45"/>
        <v>317416.5</v>
      </c>
      <c r="K65" s="9">
        <f t="shared" si="45"/>
        <v>297214.8</v>
      </c>
      <c r="L65" s="9">
        <f t="shared" si="45"/>
        <v>497871.9</v>
      </c>
      <c r="M65" s="9" t="e">
        <f>L65-#REF!</f>
        <v>#REF!</v>
      </c>
      <c r="N65" s="9">
        <f t="shared" si="36"/>
        <v>100.92782209428435</v>
      </c>
      <c r="O65" s="6">
        <f t="shared" si="16"/>
        <v>190.32106020050782</v>
      </c>
      <c r="P65" s="9">
        <f t="shared" si="17"/>
        <v>167.51248591927458</v>
      </c>
      <c r="Q65" s="6">
        <f t="shared" si="5"/>
        <v>236276.10000000003</v>
      </c>
      <c r="R65" s="6">
        <f t="shared" si="6"/>
        <v>200657.10000000003</v>
      </c>
      <c r="S65" s="321"/>
      <c r="T65" s="322"/>
      <c r="U65" s="322"/>
      <c r="V65" s="322"/>
      <c r="W65" s="323"/>
      <c r="X65" s="322"/>
    </row>
    <row r="66" spans="1:24" s="416" customFormat="1" ht="63">
      <c r="A66" s="324" t="s">
        <v>106</v>
      </c>
      <c r="B66" s="325">
        <v>41033800</v>
      </c>
      <c r="C66" s="3">
        <v>330</v>
      </c>
      <c r="D66" s="449">
        <v>330</v>
      </c>
      <c r="E66" s="25">
        <f>L66-D66</f>
        <v>1968.6</v>
      </c>
      <c r="F66" s="25">
        <f>L66/D66*100</f>
        <v>696.5454545454545</v>
      </c>
      <c r="G66" s="3">
        <v>2300</v>
      </c>
      <c r="H66" s="3">
        <f>ROUND(G66*$T$6,1)</f>
        <v>1341.7</v>
      </c>
      <c r="I66" s="3">
        <f>ROUND((G66*$T$7+G66*$T$8),1)</f>
        <v>1219.7</v>
      </c>
      <c r="J66" s="3">
        <v>1725</v>
      </c>
      <c r="K66" s="3">
        <v>1359.1</v>
      </c>
      <c r="L66" s="3">
        <v>2298.6</v>
      </c>
      <c r="M66" s="3" t="e">
        <f>L66-#REF!</f>
        <v>#REF!</v>
      </c>
      <c r="N66" s="3">
        <f>L66/G66*100</f>
        <v>99.93913043478261</v>
      </c>
      <c r="O66" s="25">
        <f>L66/I66*100</f>
        <v>188.45617774862671</v>
      </c>
      <c r="P66" s="3">
        <f>L66/K66*100</f>
        <v>169.12662791553234</v>
      </c>
      <c r="Q66" s="25">
        <f>L66-I66</f>
        <v>1078.8999999999999</v>
      </c>
      <c r="R66" s="25">
        <f>L66-K66</f>
        <v>939.5</v>
      </c>
      <c r="S66" s="321"/>
      <c r="T66" s="322"/>
      <c r="U66" s="322"/>
      <c r="V66" s="322"/>
      <c r="W66" s="452"/>
      <c r="X66" s="322"/>
    </row>
    <row r="67" spans="1:24" s="414" customFormat="1" ht="31.5">
      <c r="A67" s="324" t="s">
        <v>331</v>
      </c>
      <c r="B67" s="325">
        <v>41033900</v>
      </c>
      <c r="C67" s="3">
        <v>224563.9</v>
      </c>
      <c r="D67" s="3">
        <v>224563.9</v>
      </c>
      <c r="E67" s="25">
        <f t="shared" si="13"/>
        <v>39315.00000000003</v>
      </c>
      <c r="F67" s="25">
        <f t="shared" si="0"/>
        <v>117.50726630593789</v>
      </c>
      <c r="G67" s="3">
        <v>259300.6</v>
      </c>
      <c r="H67" s="3">
        <f>ROUND(G67*$T$6,1)</f>
        <v>151258.7</v>
      </c>
      <c r="I67" s="3">
        <f>ROUND((G67*$T$7+G67*$T$8),1)</f>
        <v>137507.9</v>
      </c>
      <c r="J67" s="3">
        <v>170101.4</v>
      </c>
      <c r="K67" s="3">
        <v>163501</v>
      </c>
      <c r="L67" s="3">
        <v>263878.9</v>
      </c>
      <c r="M67" s="3" t="e">
        <f>L67-#REF!</f>
        <v>#REF!</v>
      </c>
      <c r="N67" s="3">
        <f t="shared" si="36"/>
        <v>101.76563417130544</v>
      </c>
      <c r="O67" s="25">
        <f t="shared" si="16"/>
        <v>191.90090169364817</v>
      </c>
      <c r="P67" s="3">
        <f t="shared" si="17"/>
        <v>161.3928355178256</v>
      </c>
      <c r="Q67" s="25">
        <f t="shared" si="5"/>
        <v>126371.00000000003</v>
      </c>
      <c r="R67" s="25">
        <f t="shared" si="6"/>
        <v>100377.90000000002</v>
      </c>
      <c r="S67" s="321"/>
      <c r="T67" s="322"/>
      <c r="U67" s="322"/>
      <c r="V67" s="322"/>
      <c r="W67" s="323"/>
      <c r="X67" s="322"/>
    </row>
    <row r="68" spans="1:24" s="414" customFormat="1" ht="31.5">
      <c r="A68" s="324" t="s">
        <v>332</v>
      </c>
      <c r="B68" s="325">
        <v>41034200</v>
      </c>
      <c r="C68" s="3">
        <v>225757.5</v>
      </c>
      <c r="D68" s="3">
        <v>225757.5</v>
      </c>
      <c r="E68" s="25">
        <f t="shared" si="13"/>
        <v>5936.899999999994</v>
      </c>
      <c r="F68" s="25">
        <f t="shared" si="0"/>
        <v>102.62976866770761</v>
      </c>
      <c r="G68" s="3">
        <f>213805.6+17888.8</f>
        <v>231694.4</v>
      </c>
      <c r="H68" s="3">
        <f>ROUND(G68*$T$6,1)</f>
        <v>135155.1</v>
      </c>
      <c r="I68" s="3">
        <f>ROUND((G68*$T$7+G68*$T$8),1)</f>
        <v>122868.2</v>
      </c>
      <c r="J68" s="3">
        <v>145590.1</v>
      </c>
      <c r="K68" s="3">
        <v>132354.7</v>
      </c>
      <c r="L68" s="3">
        <v>231694.4</v>
      </c>
      <c r="M68" s="3" t="e">
        <f>L68-#REF!</f>
        <v>#REF!</v>
      </c>
      <c r="N68" s="3">
        <f t="shared" si="36"/>
        <v>100</v>
      </c>
      <c r="O68" s="25">
        <f t="shared" si="16"/>
        <v>188.5714936818477</v>
      </c>
      <c r="P68" s="3">
        <f t="shared" si="17"/>
        <v>175.055664815832</v>
      </c>
      <c r="Q68" s="25">
        <f t="shared" si="5"/>
        <v>108826.2</v>
      </c>
      <c r="R68" s="25">
        <f t="shared" si="6"/>
        <v>99339.69999999998</v>
      </c>
      <c r="S68" s="321"/>
      <c r="T68" s="322"/>
      <c r="U68" s="322"/>
      <c r="V68" s="322"/>
      <c r="W68" s="323"/>
      <c r="X68" s="322"/>
    </row>
    <row r="69" spans="1:24" s="416" customFormat="1" ht="31.5">
      <c r="A69" s="319" t="s">
        <v>333</v>
      </c>
      <c r="B69" s="320">
        <v>41040000</v>
      </c>
      <c r="C69" s="9">
        <f>C70</f>
        <v>0</v>
      </c>
      <c r="D69" s="9">
        <f>D70</f>
        <v>0</v>
      </c>
      <c r="E69" s="6">
        <f t="shared" si="13"/>
        <v>2684.6</v>
      </c>
      <c r="F69" s="330" t="e">
        <f t="shared" si="0"/>
        <v>#DIV/0!</v>
      </c>
      <c r="G69" s="9">
        <f aca="true" t="shared" si="46" ref="G69:L69">G70</f>
        <v>2684.6</v>
      </c>
      <c r="H69" s="9">
        <f t="shared" si="46"/>
        <v>1566</v>
      </c>
      <c r="I69" s="9">
        <f t="shared" si="46"/>
        <v>1423.7</v>
      </c>
      <c r="J69" s="9">
        <f t="shared" si="46"/>
        <v>1364.7</v>
      </c>
      <c r="K69" s="9">
        <f t="shared" si="46"/>
        <v>1222.3</v>
      </c>
      <c r="L69" s="9">
        <f t="shared" si="46"/>
        <v>2684.6</v>
      </c>
      <c r="M69" s="9" t="e">
        <f>L69-#REF!</f>
        <v>#REF!</v>
      </c>
      <c r="N69" s="9">
        <f>L69/G69*100</f>
        <v>100</v>
      </c>
      <c r="O69" s="6">
        <f>L69/I69*100</f>
        <v>188.5650066727541</v>
      </c>
      <c r="P69" s="9">
        <f>L69/K69*100</f>
        <v>219.63511412910086</v>
      </c>
      <c r="Q69" s="6">
        <f>L69-I69</f>
        <v>1260.8999999999999</v>
      </c>
      <c r="R69" s="6">
        <f>L69-K69</f>
        <v>1462.3</v>
      </c>
      <c r="S69" s="321"/>
      <c r="T69" s="322"/>
      <c r="U69" s="322"/>
      <c r="V69" s="322"/>
      <c r="W69" s="323">
        <f>H69-I69</f>
        <v>142.29999999999995</v>
      </c>
      <c r="X69" s="322">
        <f>J69-K69</f>
        <v>142.4000000000001</v>
      </c>
    </row>
    <row r="70" spans="1:24" s="414" customFormat="1" ht="78.75">
      <c r="A70" s="324" t="s">
        <v>334</v>
      </c>
      <c r="B70" s="325">
        <v>41040200</v>
      </c>
      <c r="C70" s="3"/>
      <c r="D70" s="3"/>
      <c r="E70" s="25">
        <f t="shared" si="13"/>
        <v>2684.6</v>
      </c>
      <c r="F70" s="256" t="e">
        <f t="shared" si="0"/>
        <v>#DIV/0!</v>
      </c>
      <c r="G70" s="3">
        <v>2684.6</v>
      </c>
      <c r="H70" s="3">
        <f>ROUND(G70*$T$6,1)</f>
        <v>1566</v>
      </c>
      <c r="I70" s="3">
        <f>ROUND((G70*$T$7+G70*$T$8),1)</f>
        <v>1423.7</v>
      </c>
      <c r="J70" s="3">
        <v>1364.7</v>
      </c>
      <c r="K70" s="3">
        <v>1222.3</v>
      </c>
      <c r="L70" s="3">
        <v>2684.6</v>
      </c>
      <c r="M70" s="3" t="e">
        <f>L70-#REF!</f>
        <v>#REF!</v>
      </c>
      <c r="N70" s="3">
        <f>L70/G70*100</f>
        <v>100</v>
      </c>
      <c r="O70" s="25">
        <f>L70/I70*100</f>
        <v>188.5650066727541</v>
      </c>
      <c r="P70" s="3">
        <f>L70/K70*100</f>
        <v>219.63511412910086</v>
      </c>
      <c r="Q70" s="25">
        <f>L70-I70</f>
        <v>1260.8999999999999</v>
      </c>
      <c r="R70" s="25">
        <f>L70-K70</f>
        <v>1462.3</v>
      </c>
      <c r="S70" s="321"/>
      <c r="T70" s="322"/>
      <c r="U70" s="322"/>
      <c r="V70" s="322"/>
      <c r="W70" s="323">
        <f>H70-I70</f>
        <v>142.29999999999995</v>
      </c>
      <c r="X70" s="322">
        <f>J70-K70</f>
        <v>142.4000000000001</v>
      </c>
    </row>
    <row r="71" spans="1:24" s="416" customFormat="1" ht="31.5">
      <c r="A71" s="328" t="s">
        <v>335</v>
      </c>
      <c r="B71" s="320">
        <v>41050000</v>
      </c>
      <c r="C71" s="9">
        <f>C72+C73+C74+C76+C82+C84+C91+C92+C93+C94+C83</f>
        <v>943324</v>
      </c>
      <c r="D71" s="9">
        <f>D72+D73+D74+D76+D82+D84+D91+D92+D93+D94+D83</f>
        <v>928773.2999999999</v>
      </c>
      <c r="E71" s="6">
        <f t="shared" si="13"/>
        <v>162956.79432999983</v>
      </c>
      <c r="F71" s="6">
        <f t="shared" si="0"/>
        <v>117.54537887017207</v>
      </c>
      <c r="G71" s="9">
        <f aca="true" t="shared" si="47" ref="G71:L71">G72+G73+G74+G76+G82+G84+G91+G92+G93+G94+G77+G110+G83+G75</f>
        <v>1173759.0999999999</v>
      </c>
      <c r="H71" s="9">
        <f t="shared" si="47"/>
        <v>684692.7000000001</v>
      </c>
      <c r="I71" s="9">
        <f t="shared" si="47"/>
        <v>622448</v>
      </c>
      <c r="J71" s="9">
        <f t="shared" si="47"/>
        <v>815220.7999999998</v>
      </c>
      <c r="K71" s="9">
        <f t="shared" si="47"/>
        <v>784495.5</v>
      </c>
      <c r="L71" s="9">
        <f t="shared" si="47"/>
        <v>1091730.0943299998</v>
      </c>
      <c r="M71" s="9" t="e">
        <f>L71-#REF!</f>
        <v>#REF!</v>
      </c>
      <c r="N71" s="9">
        <f t="shared" si="36"/>
        <v>93.01142750075377</v>
      </c>
      <c r="O71" s="6">
        <f t="shared" si="16"/>
        <v>175.3929797075418</v>
      </c>
      <c r="P71" s="9">
        <f t="shared" si="17"/>
        <v>139.16333418483595</v>
      </c>
      <c r="Q71" s="6">
        <f t="shared" si="5"/>
        <v>469282.09432999976</v>
      </c>
      <c r="R71" s="6">
        <f t="shared" si="6"/>
        <v>307234.59432999976</v>
      </c>
      <c r="S71" s="321">
        <f>L71-I71-Q71</f>
        <v>0</v>
      </c>
      <c r="T71" s="322">
        <f>L71-K71-R71</f>
        <v>0</v>
      </c>
      <c r="U71" s="322">
        <f>L71/G71*100-N71</f>
        <v>0</v>
      </c>
      <c r="V71" s="322">
        <f>L71/I71*100-O71</f>
        <v>0</v>
      </c>
      <c r="W71" s="323">
        <f>H71-I71</f>
        <v>62244.70000000007</v>
      </c>
      <c r="X71" s="322">
        <f>J71-K71</f>
        <v>30725.299999999814</v>
      </c>
    </row>
    <row r="72" spans="1:24" s="414" customFormat="1" ht="141.75">
      <c r="A72" s="342" t="s">
        <v>336</v>
      </c>
      <c r="B72" s="325">
        <v>41050100</v>
      </c>
      <c r="C72" s="3">
        <v>583483.1</v>
      </c>
      <c r="D72" s="3">
        <v>583483.1</v>
      </c>
      <c r="E72" s="25">
        <f t="shared" si="13"/>
        <v>103602</v>
      </c>
      <c r="F72" s="25">
        <f t="shared" si="0"/>
        <v>117.75578418638004</v>
      </c>
      <c r="G72" s="3">
        <v>772232.1</v>
      </c>
      <c r="H72" s="3">
        <f>ROUND(G72*$T$6,1)</f>
        <v>450468.7</v>
      </c>
      <c r="I72" s="3">
        <f>ROUND((G72*$T$7+G72*$T$8),1)-0.1</f>
        <v>409516.9</v>
      </c>
      <c r="J72" s="3">
        <v>581863.8</v>
      </c>
      <c r="K72" s="3">
        <v>572442.3</v>
      </c>
      <c r="L72" s="3">
        <v>687085.1</v>
      </c>
      <c r="M72" s="3" t="e">
        <f>L72-#REF!</f>
        <v>#REF!</v>
      </c>
      <c r="N72" s="3">
        <f t="shared" si="36"/>
        <v>88.97391082292488</v>
      </c>
      <c r="O72" s="25">
        <f t="shared" si="16"/>
        <v>167.7794249761121</v>
      </c>
      <c r="P72" s="3">
        <f t="shared" si="17"/>
        <v>120.02696166932456</v>
      </c>
      <c r="Q72" s="25">
        <f t="shared" si="5"/>
        <v>277568.19999999995</v>
      </c>
      <c r="R72" s="25">
        <f t="shared" si="6"/>
        <v>114642.79999999993</v>
      </c>
      <c r="S72" s="347"/>
      <c r="T72" s="348"/>
      <c r="U72" s="348"/>
      <c r="V72" s="348"/>
      <c r="W72" s="390"/>
      <c r="X72" s="348"/>
    </row>
    <row r="73" spans="1:24" s="414" customFormat="1" ht="78.75">
      <c r="A73" s="342" t="s">
        <v>337</v>
      </c>
      <c r="B73" s="325">
        <v>41050200</v>
      </c>
      <c r="C73" s="3">
        <v>285</v>
      </c>
      <c r="D73" s="3">
        <v>285</v>
      </c>
      <c r="E73" s="25">
        <f t="shared" si="13"/>
        <v>18.19999999999999</v>
      </c>
      <c r="F73" s="25">
        <f t="shared" si="0"/>
        <v>106.3859649122807</v>
      </c>
      <c r="G73" s="3">
        <v>375.4</v>
      </c>
      <c r="H73" s="3">
        <f>ROUND(G73*$T$6,1)</f>
        <v>219</v>
      </c>
      <c r="I73" s="3">
        <f>ROUND((G73*$T$7+G73*$T$8),1)</f>
        <v>199.1</v>
      </c>
      <c r="J73" s="3">
        <v>213.6</v>
      </c>
      <c r="K73" s="3">
        <v>192.8</v>
      </c>
      <c r="L73" s="3">
        <v>303.2</v>
      </c>
      <c r="M73" s="3" t="e">
        <f>L73-#REF!</f>
        <v>#REF!</v>
      </c>
      <c r="N73" s="3">
        <f t="shared" si="36"/>
        <v>80.76718167288226</v>
      </c>
      <c r="O73" s="25">
        <f t="shared" si="16"/>
        <v>152.2852837769965</v>
      </c>
      <c r="P73" s="3">
        <f t="shared" si="17"/>
        <v>157.2614107883817</v>
      </c>
      <c r="Q73" s="25">
        <f t="shared" si="5"/>
        <v>104.1</v>
      </c>
      <c r="R73" s="25">
        <f t="shared" si="6"/>
        <v>110.39999999999998</v>
      </c>
      <c r="S73" s="347"/>
      <c r="T73" s="348"/>
      <c r="U73" s="348"/>
      <c r="V73" s="348"/>
      <c r="W73" s="390"/>
      <c r="X73" s="348"/>
    </row>
    <row r="74" spans="1:24" s="414" customFormat="1" ht="241.5" customHeight="1">
      <c r="A74" s="342" t="s">
        <v>338</v>
      </c>
      <c r="B74" s="325">
        <v>41050300</v>
      </c>
      <c r="C74" s="3">
        <v>291262.5</v>
      </c>
      <c r="D74" s="3">
        <v>291262.5</v>
      </c>
      <c r="E74" s="25">
        <f t="shared" si="13"/>
        <v>-8698</v>
      </c>
      <c r="F74" s="25">
        <f aca="true" t="shared" si="48" ref="F74:F108">L74/D74*100</f>
        <v>97.01369039955367</v>
      </c>
      <c r="G74" s="3">
        <v>354483.7</v>
      </c>
      <c r="H74" s="3">
        <f>ROUND(G74*$T$6,1)</f>
        <v>206782.2</v>
      </c>
      <c r="I74" s="3">
        <f>ROUND((G74*$T$7+G74*$T$8),1)-0.1</f>
        <v>187983.69999999998</v>
      </c>
      <c r="J74" s="3">
        <v>203194.4</v>
      </c>
      <c r="K74" s="3">
        <v>184049.5</v>
      </c>
      <c r="L74" s="3">
        <v>282564.5</v>
      </c>
      <c r="M74" s="3" t="e">
        <f>L74-#REF!</f>
        <v>#REF!</v>
      </c>
      <c r="N74" s="3">
        <f t="shared" si="36"/>
        <v>79.71156360645072</v>
      </c>
      <c r="O74" s="25">
        <f t="shared" si="16"/>
        <v>150.3132984402371</v>
      </c>
      <c r="P74" s="3">
        <f t="shared" si="17"/>
        <v>153.5263611148088</v>
      </c>
      <c r="Q74" s="25">
        <f aca="true" t="shared" si="49" ref="Q74:Q94">L74-I74</f>
        <v>94580.80000000002</v>
      </c>
      <c r="R74" s="25">
        <f aca="true" t="shared" si="50" ref="R74:R94">L74-K74</f>
        <v>98515</v>
      </c>
      <c r="S74" s="347"/>
      <c r="T74" s="348"/>
      <c r="U74" s="348"/>
      <c r="V74" s="348"/>
      <c r="W74" s="390"/>
      <c r="X74" s="348"/>
    </row>
    <row r="75" spans="1:24" s="414" customFormat="1" ht="252">
      <c r="A75" s="342" t="s">
        <v>22</v>
      </c>
      <c r="B75" s="325">
        <v>41050400</v>
      </c>
      <c r="C75" s="3"/>
      <c r="D75" s="3"/>
      <c r="E75" s="25">
        <f>L75-D75</f>
        <v>10770.90433</v>
      </c>
      <c r="F75" s="256" t="e">
        <f>L75/D75*100</f>
        <v>#DIV/0!</v>
      </c>
      <c r="G75" s="3">
        <v>4839.6</v>
      </c>
      <c r="H75" s="3">
        <f>ROUND(G75*$T$6,1)</f>
        <v>2823.1</v>
      </c>
      <c r="I75" s="3">
        <f>ROUND((G75*$T$7+G75*$T$8),1)</f>
        <v>2566.5</v>
      </c>
      <c r="J75" s="3">
        <v>3347.2</v>
      </c>
      <c r="K75" s="3">
        <v>3347.2</v>
      </c>
      <c r="L75" s="3">
        <v>10770.90433</v>
      </c>
      <c r="M75" s="3" t="e">
        <f>L75-#REF!</f>
        <v>#REF!</v>
      </c>
      <c r="N75" s="399">
        <f t="shared" si="36"/>
        <v>222.5577388627159</v>
      </c>
      <c r="O75" s="400">
        <f>L75/I75*100</f>
        <v>419.6728747321254</v>
      </c>
      <c r="P75" s="399">
        <f>L75/K75*100</f>
        <v>321.78848978250477</v>
      </c>
      <c r="Q75" s="400">
        <f>L75-I75</f>
        <v>8204.40433</v>
      </c>
      <c r="R75" s="400">
        <f>L75-K75</f>
        <v>7423.70433</v>
      </c>
      <c r="S75" s="347"/>
      <c r="T75" s="348"/>
      <c r="U75" s="348"/>
      <c r="V75" s="348"/>
      <c r="W75" s="390"/>
      <c r="X75" s="348"/>
    </row>
    <row r="76" spans="1:24" s="414" customFormat="1" ht="189">
      <c r="A76" s="342" t="s">
        <v>339</v>
      </c>
      <c r="B76" s="325">
        <v>41050700</v>
      </c>
      <c r="C76" s="3">
        <v>1786</v>
      </c>
      <c r="D76" s="3">
        <v>1786</v>
      </c>
      <c r="E76" s="25">
        <f t="shared" si="13"/>
        <v>2595.7</v>
      </c>
      <c r="F76" s="25">
        <f t="shared" si="48"/>
        <v>245.33594624860024</v>
      </c>
      <c r="G76" s="3">
        <f>2695.7-200</f>
        <v>2495.7</v>
      </c>
      <c r="H76" s="3">
        <f>ROUND(G76*$T$6,1)</f>
        <v>1455.8</v>
      </c>
      <c r="I76" s="3">
        <f>ROUND((G76*$T$7+G76*$T$8),1)</f>
        <v>1323.5</v>
      </c>
      <c r="J76" s="3">
        <v>1278.2</v>
      </c>
      <c r="K76" s="3">
        <v>1137.5</v>
      </c>
      <c r="L76" s="3">
        <v>4381.7</v>
      </c>
      <c r="M76" s="3" t="e">
        <f>L76-#REF!</f>
        <v>#REF!</v>
      </c>
      <c r="N76" s="399">
        <f t="shared" si="36"/>
        <v>175.5699803662299</v>
      </c>
      <c r="O76" s="400">
        <f t="shared" si="16"/>
        <v>331.06913486966374</v>
      </c>
      <c r="P76" s="399">
        <f t="shared" si="17"/>
        <v>385.2043956043956</v>
      </c>
      <c r="Q76" s="391">
        <f t="shared" si="49"/>
        <v>3058.2</v>
      </c>
      <c r="R76" s="400">
        <f t="shared" si="50"/>
        <v>3244.2</v>
      </c>
      <c r="S76" s="347"/>
      <c r="T76" s="348"/>
      <c r="U76" s="348"/>
      <c r="V76" s="348"/>
      <c r="W76" s="390"/>
      <c r="X76" s="348"/>
    </row>
    <row r="77" spans="1:24" s="414" customFormat="1" ht="63">
      <c r="A77" s="342" t="s">
        <v>5</v>
      </c>
      <c r="B77" s="325">
        <v>41051100</v>
      </c>
      <c r="C77" s="3"/>
      <c r="D77" s="3"/>
      <c r="E77" s="25">
        <f t="shared" si="13"/>
        <v>788.8</v>
      </c>
      <c r="F77" s="256" t="e">
        <f t="shared" si="48"/>
        <v>#DIV/0!</v>
      </c>
      <c r="G77" s="3">
        <f aca="true" t="shared" si="51" ref="G77:L77">G78+G79+G80+G81</f>
        <v>788.8</v>
      </c>
      <c r="H77" s="3">
        <f t="shared" si="51"/>
        <v>460.1</v>
      </c>
      <c r="I77" s="3">
        <f t="shared" si="51"/>
        <v>418.3</v>
      </c>
      <c r="J77" s="3">
        <f t="shared" si="51"/>
        <v>788.8</v>
      </c>
      <c r="K77" s="3">
        <f t="shared" si="51"/>
        <v>788.8</v>
      </c>
      <c r="L77" s="3">
        <f t="shared" si="51"/>
        <v>788.8</v>
      </c>
      <c r="M77" s="3" t="e">
        <f>L77-#REF!</f>
        <v>#REF!</v>
      </c>
      <c r="N77" s="399">
        <f t="shared" si="36"/>
        <v>100</v>
      </c>
      <c r="O77" s="400">
        <f t="shared" si="16"/>
        <v>188.5727946449916</v>
      </c>
      <c r="P77" s="399">
        <f t="shared" si="17"/>
        <v>100</v>
      </c>
      <c r="Q77" s="391">
        <f t="shared" si="49"/>
        <v>370.49999999999994</v>
      </c>
      <c r="R77" s="400">
        <f t="shared" si="50"/>
        <v>0</v>
      </c>
      <c r="S77" s="347"/>
      <c r="T77" s="348"/>
      <c r="U77" s="348"/>
      <c r="V77" s="348"/>
      <c r="W77" s="390"/>
      <c r="X77" s="348"/>
    </row>
    <row r="78" spans="1:24" s="414" customFormat="1" ht="78.75">
      <c r="A78" s="438" t="s">
        <v>6</v>
      </c>
      <c r="B78" s="325"/>
      <c r="C78" s="3"/>
      <c r="D78" s="3"/>
      <c r="E78" s="25">
        <f t="shared" si="13"/>
        <v>233.1</v>
      </c>
      <c r="F78" s="256" t="e">
        <f t="shared" si="48"/>
        <v>#DIV/0!</v>
      </c>
      <c r="G78" s="3">
        <v>233.1</v>
      </c>
      <c r="H78" s="3">
        <f aca="true" t="shared" si="52" ref="H78:H83">ROUND(G78*$T$6,1)</f>
        <v>136</v>
      </c>
      <c r="I78" s="3">
        <f aca="true" t="shared" si="53" ref="I78:I83">ROUND((G78*$T$7+G78*$T$8),1)</f>
        <v>123.6</v>
      </c>
      <c r="J78" s="3">
        <v>233.1</v>
      </c>
      <c r="K78" s="3">
        <v>233.1</v>
      </c>
      <c r="L78" s="3">
        <v>233.1</v>
      </c>
      <c r="M78" s="3" t="e">
        <f>L78-#REF!</f>
        <v>#REF!</v>
      </c>
      <c r="N78" s="399">
        <f t="shared" si="36"/>
        <v>100</v>
      </c>
      <c r="O78" s="400">
        <f t="shared" si="16"/>
        <v>188.59223300970874</v>
      </c>
      <c r="P78" s="399">
        <f t="shared" si="17"/>
        <v>100</v>
      </c>
      <c r="Q78" s="391">
        <f t="shared" si="49"/>
        <v>109.5</v>
      </c>
      <c r="R78" s="400">
        <f t="shared" si="50"/>
        <v>0</v>
      </c>
      <c r="S78" s="347"/>
      <c r="T78" s="348"/>
      <c r="U78" s="348"/>
      <c r="V78" s="348"/>
      <c r="W78" s="390"/>
      <c r="X78" s="348"/>
    </row>
    <row r="79" spans="1:24" s="414" customFormat="1" ht="63">
      <c r="A79" s="438" t="s">
        <v>7</v>
      </c>
      <c r="B79" s="325"/>
      <c r="C79" s="3"/>
      <c r="D79" s="3"/>
      <c r="E79" s="25">
        <f>L79-D79</f>
        <v>416.9</v>
      </c>
      <c r="F79" s="256" t="e">
        <f>L79/D79*100</f>
        <v>#DIV/0!</v>
      </c>
      <c r="G79" s="3">
        <v>416.9</v>
      </c>
      <c r="H79" s="3">
        <f t="shared" si="52"/>
        <v>243.2</v>
      </c>
      <c r="I79" s="3">
        <f t="shared" si="53"/>
        <v>221.1</v>
      </c>
      <c r="J79" s="3">
        <v>416.9</v>
      </c>
      <c r="K79" s="3">
        <v>416.9</v>
      </c>
      <c r="L79" s="3">
        <v>416.9</v>
      </c>
      <c r="M79" s="3" t="e">
        <f>L79-#REF!</f>
        <v>#REF!</v>
      </c>
      <c r="N79" s="399">
        <f t="shared" si="36"/>
        <v>100</v>
      </c>
      <c r="O79" s="400">
        <f t="shared" si="16"/>
        <v>188.55721393034827</v>
      </c>
      <c r="P79" s="399">
        <f t="shared" si="17"/>
        <v>100</v>
      </c>
      <c r="Q79" s="391">
        <f t="shared" si="49"/>
        <v>195.79999999999998</v>
      </c>
      <c r="R79" s="400">
        <f t="shared" si="50"/>
        <v>0</v>
      </c>
      <c r="S79" s="347"/>
      <c r="T79" s="348"/>
      <c r="U79" s="348"/>
      <c r="V79" s="348"/>
      <c r="W79" s="390"/>
      <c r="X79" s="348"/>
    </row>
    <row r="80" spans="1:24" s="414" customFormat="1" ht="31.5">
      <c r="A80" s="438" t="s">
        <v>14</v>
      </c>
      <c r="B80" s="325"/>
      <c r="C80" s="3"/>
      <c r="D80" s="3"/>
      <c r="E80" s="25">
        <f>L80-D80</f>
        <v>100</v>
      </c>
      <c r="F80" s="256" t="e">
        <f>L80/D80*100</f>
        <v>#DIV/0!</v>
      </c>
      <c r="G80" s="3">
        <v>100</v>
      </c>
      <c r="H80" s="3">
        <f t="shared" si="52"/>
        <v>58.3</v>
      </c>
      <c r="I80" s="3">
        <f t="shared" si="53"/>
        <v>53</v>
      </c>
      <c r="J80" s="3">
        <v>100</v>
      </c>
      <c r="K80" s="3">
        <v>100</v>
      </c>
      <c r="L80" s="3">
        <v>100</v>
      </c>
      <c r="M80" s="3" t="e">
        <f>L80-#REF!</f>
        <v>#REF!</v>
      </c>
      <c r="N80" s="399">
        <f>L80/G80*100</f>
        <v>100</v>
      </c>
      <c r="O80" s="400">
        <f>L80/I80*100</f>
        <v>188.67924528301887</v>
      </c>
      <c r="P80" s="399">
        <f>L80/K80*100</f>
        <v>100</v>
      </c>
      <c r="Q80" s="391">
        <f>L80-I80</f>
        <v>47</v>
      </c>
      <c r="R80" s="400">
        <f>L80-K80</f>
        <v>0</v>
      </c>
      <c r="S80" s="347"/>
      <c r="T80" s="348"/>
      <c r="U80" s="348"/>
      <c r="V80" s="348"/>
      <c r="W80" s="390"/>
      <c r="X80" s="348"/>
    </row>
    <row r="81" spans="1:24" s="414" customFormat="1" ht="94.5">
      <c r="A81" s="438" t="s">
        <v>15</v>
      </c>
      <c r="B81" s="325"/>
      <c r="C81" s="3"/>
      <c r="D81" s="3"/>
      <c r="E81" s="25">
        <f>L81-D81</f>
        <v>38.8</v>
      </c>
      <c r="F81" s="256" t="e">
        <f>L81/D81*100</f>
        <v>#DIV/0!</v>
      </c>
      <c r="G81" s="3">
        <v>38.8</v>
      </c>
      <c r="H81" s="3">
        <f t="shared" si="52"/>
        <v>22.6</v>
      </c>
      <c r="I81" s="3">
        <f t="shared" si="53"/>
        <v>20.6</v>
      </c>
      <c r="J81" s="3">
        <v>38.8</v>
      </c>
      <c r="K81" s="3">
        <v>38.8</v>
      </c>
      <c r="L81" s="3">
        <v>38.8</v>
      </c>
      <c r="M81" s="3" t="e">
        <f>L81-#REF!</f>
        <v>#REF!</v>
      </c>
      <c r="N81" s="399">
        <f>L81/G81*100</f>
        <v>100</v>
      </c>
      <c r="O81" s="400">
        <f>L81/I81*100</f>
        <v>188.34951456310677</v>
      </c>
      <c r="P81" s="399">
        <f>L81/K81*100</f>
        <v>100</v>
      </c>
      <c r="Q81" s="391">
        <f>L81-I81</f>
        <v>18.199999999999996</v>
      </c>
      <c r="R81" s="400">
        <f>L81-K81</f>
        <v>0</v>
      </c>
      <c r="S81" s="347"/>
      <c r="T81" s="348"/>
      <c r="U81" s="348"/>
      <c r="V81" s="348"/>
      <c r="W81" s="390"/>
      <c r="X81" s="348"/>
    </row>
    <row r="82" spans="1:24" s="434" customFormat="1" ht="63">
      <c r="A82" s="342" t="s">
        <v>0</v>
      </c>
      <c r="B82" s="325">
        <v>41051200</v>
      </c>
      <c r="C82" s="3">
        <v>579.3</v>
      </c>
      <c r="D82" s="3">
        <v>579.3</v>
      </c>
      <c r="E82" s="25">
        <f aca="true" t="shared" si="54" ref="E82:E108">L82-D82</f>
        <v>2735.7</v>
      </c>
      <c r="F82" s="25">
        <f t="shared" si="48"/>
        <v>572.2423614707405</v>
      </c>
      <c r="G82" s="3">
        <f>968.7+108</f>
        <v>1076.7</v>
      </c>
      <c r="H82" s="3">
        <f t="shared" si="52"/>
        <v>628.1</v>
      </c>
      <c r="I82" s="3">
        <f t="shared" si="53"/>
        <v>571</v>
      </c>
      <c r="J82" s="3">
        <v>673</v>
      </c>
      <c r="K82" s="3">
        <v>621.6</v>
      </c>
      <c r="L82" s="3">
        <v>3315</v>
      </c>
      <c r="M82" s="3" t="e">
        <f>L82-#REF!</f>
        <v>#REF!</v>
      </c>
      <c r="N82" s="399">
        <f>L82/G82*100</f>
        <v>307.8852047924213</v>
      </c>
      <c r="O82" s="400">
        <f>L82/I82*100</f>
        <v>580.5604203152365</v>
      </c>
      <c r="P82" s="399">
        <f>L82/K82*100</f>
        <v>533.3011583011582</v>
      </c>
      <c r="Q82" s="400">
        <f>L82-I82</f>
        <v>2744</v>
      </c>
      <c r="R82" s="400">
        <f>L82-K82</f>
        <v>2693.4</v>
      </c>
      <c r="S82" s="431"/>
      <c r="T82" s="432"/>
      <c r="U82" s="432"/>
      <c r="V82" s="432"/>
      <c r="W82" s="433"/>
      <c r="X82" s="432"/>
    </row>
    <row r="83" spans="1:24" s="414" customFormat="1" ht="63">
      <c r="A83" s="342" t="s">
        <v>16</v>
      </c>
      <c r="B83" s="325">
        <v>41051400</v>
      </c>
      <c r="C83" s="3"/>
      <c r="D83" s="3"/>
      <c r="E83" s="25">
        <f>L83-D83</f>
        <v>723.7</v>
      </c>
      <c r="F83" s="256" t="e">
        <f>L83/D83*100</f>
        <v>#DIV/0!</v>
      </c>
      <c r="G83" s="3">
        <v>5478.7</v>
      </c>
      <c r="H83" s="3">
        <f t="shared" si="52"/>
        <v>3195.9</v>
      </c>
      <c r="I83" s="3">
        <f t="shared" si="53"/>
        <v>2905.4</v>
      </c>
      <c r="J83" s="3">
        <v>3424.2</v>
      </c>
      <c r="K83" s="3">
        <v>2988.4</v>
      </c>
      <c r="L83" s="3">
        <v>723.7</v>
      </c>
      <c r="M83" s="3" t="e">
        <f>L83-#REF!</f>
        <v>#REF!</v>
      </c>
      <c r="N83" s="399">
        <f>L83/G83*100</f>
        <v>13.209337981637981</v>
      </c>
      <c r="O83" s="400">
        <f>L83/I83*100</f>
        <v>24.908790527982376</v>
      </c>
      <c r="P83" s="399">
        <f>L83/K83*100</f>
        <v>24.216972292865748</v>
      </c>
      <c r="Q83" s="400">
        <f>L83-I83</f>
        <v>-2181.7</v>
      </c>
      <c r="R83" s="400">
        <f>L83-K83</f>
        <v>-2264.7</v>
      </c>
      <c r="S83" s="347"/>
      <c r="T83" s="348"/>
      <c r="U83" s="348"/>
      <c r="V83" s="348"/>
      <c r="W83" s="390"/>
      <c r="X83" s="348"/>
    </row>
    <row r="84" spans="1:24" s="414" customFormat="1" ht="47.25">
      <c r="A84" s="342" t="s">
        <v>340</v>
      </c>
      <c r="B84" s="325">
        <v>41051500</v>
      </c>
      <c r="C84" s="3">
        <f>C85+C86+C87+C88+C89</f>
        <v>22528.1</v>
      </c>
      <c r="D84" s="3">
        <f>D85+D86+D87+D88+D89</f>
        <v>9921.2</v>
      </c>
      <c r="E84" s="25">
        <f t="shared" si="54"/>
        <v>-902</v>
      </c>
      <c r="F84" s="25">
        <f t="shared" si="48"/>
        <v>90.9083578599363</v>
      </c>
      <c r="G84" s="3">
        <f aca="true" t="shared" si="55" ref="G84:L84">G85+G86+G87+G88+G89</f>
        <v>19196.399999999998</v>
      </c>
      <c r="H84" s="3">
        <f t="shared" si="55"/>
        <v>11197.8</v>
      </c>
      <c r="I84" s="3">
        <f t="shared" si="55"/>
        <v>10179.9</v>
      </c>
      <c r="J84" s="3">
        <f t="shared" si="55"/>
        <v>11283.699999999999</v>
      </c>
      <c r="K84" s="3">
        <f t="shared" si="55"/>
        <v>10168</v>
      </c>
      <c r="L84" s="3">
        <f t="shared" si="55"/>
        <v>9019.2</v>
      </c>
      <c r="M84" s="3" t="e">
        <f>L84-#REF!</f>
        <v>#REF!</v>
      </c>
      <c r="N84" s="3">
        <f t="shared" si="36"/>
        <v>46.983809464274565</v>
      </c>
      <c r="O84" s="25">
        <f>L84/I84*100</f>
        <v>88.59811982435978</v>
      </c>
      <c r="P84" s="3">
        <f>L84/K84*100</f>
        <v>88.70180959874115</v>
      </c>
      <c r="Q84" s="25">
        <f t="shared" si="49"/>
        <v>-1160.699999999999</v>
      </c>
      <c r="R84" s="25">
        <f t="shared" si="50"/>
        <v>-1148.7999999999993</v>
      </c>
      <c r="S84" s="347"/>
      <c r="T84" s="348"/>
      <c r="U84" s="348"/>
      <c r="V84" s="348"/>
      <c r="W84" s="390"/>
      <c r="X84" s="348"/>
    </row>
    <row r="85" spans="1:24" s="414" customFormat="1" ht="63">
      <c r="A85" s="342" t="s">
        <v>341</v>
      </c>
      <c r="B85" s="325"/>
      <c r="C85" s="3">
        <v>359.8</v>
      </c>
      <c r="D85" s="3">
        <v>134.1</v>
      </c>
      <c r="E85" s="25">
        <f t="shared" si="54"/>
        <v>-134.1</v>
      </c>
      <c r="F85" s="25">
        <f t="shared" si="48"/>
        <v>0</v>
      </c>
      <c r="G85" s="3"/>
      <c r="H85" s="25"/>
      <c r="I85" s="3"/>
      <c r="J85" s="3"/>
      <c r="K85" s="3"/>
      <c r="L85" s="3"/>
      <c r="M85" s="9" t="e">
        <f>L85-#REF!</f>
        <v>#REF!</v>
      </c>
      <c r="N85" s="3"/>
      <c r="O85" s="25"/>
      <c r="P85" s="3"/>
      <c r="Q85" s="25"/>
      <c r="R85" s="25">
        <f t="shared" si="50"/>
        <v>0</v>
      </c>
      <c r="S85" s="347"/>
      <c r="T85" s="348"/>
      <c r="U85" s="348"/>
      <c r="V85" s="348"/>
      <c r="W85" s="390"/>
      <c r="X85" s="348"/>
    </row>
    <row r="86" spans="1:24" s="414" customFormat="1" ht="78.75">
      <c r="A86" s="342" t="s">
        <v>342</v>
      </c>
      <c r="B86" s="325"/>
      <c r="C86" s="3">
        <v>600.7</v>
      </c>
      <c r="D86" s="3">
        <v>34.7</v>
      </c>
      <c r="E86" s="25">
        <f t="shared" si="54"/>
        <v>-34.7</v>
      </c>
      <c r="F86" s="256">
        <f t="shared" si="48"/>
        <v>0</v>
      </c>
      <c r="G86" s="3"/>
      <c r="H86" s="25"/>
      <c r="I86" s="3"/>
      <c r="J86" s="3"/>
      <c r="K86" s="3"/>
      <c r="L86" s="3"/>
      <c r="M86" s="9" t="e">
        <f>L86-#REF!</f>
        <v>#REF!</v>
      </c>
      <c r="N86" s="3"/>
      <c r="O86" s="25"/>
      <c r="P86" s="3"/>
      <c r="Q86" s="25"/>
      <c r="R86" s="25">
        <f t="shared" si="50"/>
        <v>0</v>
      </c>
      <c r="S86" s="347"/>
      <c r="T86" s="348"/>
      <c r="U86" s="348"/>
      <c r="V86" s="348"/>
      <c r="W86" s="390"/>
      <c r="X86" s="348"/>
    </row>
    <row r="87" spans="1:24" s="414" customFormat="1" ht="31.5">
      <c r="A87" s="342" t="s">
        <v>343</v>
      </c>
      <c r="B87" s="325"/>
      <c r="C87" s="3">
        <v>13421.3</v>
      </c>
      <c r="D87" s="3">
        <v>6665.4</v>
      </c>
      <c r="E87" s="25">
        <f t="shared" si="54"/>
        <v>-1210.7999999999993</v>
      </c>
      <c r="F87" s="25">
        <f t="shared" si="48"/>
        <v>81.83454856422722</v>
      </c>
      <c r="G87" s="3">
        <v>10910.6</v>
      </c>
      <c r="H87" s="25">
        <f aca="true" t="shared" si="56" ref="H87:H107">ROUND(G87*$T$6,1)</f>
        <v>6364.5</v>
      </c>
      <c r="I87" s="3">
        <f aca="true" t="shared" si="57" ref="I87:I92">ROUND((G87*$T$7+G87*$T$8),1)</f>
        <v>5785.9</v>
      </c>
      <c r="J87" s="3">
        <v>6363.7</v>
      </c>
      <c r="K87" s="3">
        <v>5785.2</v>
      </c>
      <c r="L87" s="3">
        <f>4545.5+909.1</f>
        <v>5454.6</v>
      </c>
      <c r="M87" s="3" t="e">
        <f>L87-#REF!</f>
        <v>#REF!</v>
      </c>
      <c r="N87" s="3">
        <f t="shared" si="36"/>
        <v>49.99358422084945</v>
      </c>
      <c r="O87" s="25">
        <f>L87/I87*100</f>
        <v>94.27401095767297</v>
      </c>
      <c r="P87" s="3">
        <f>L87/K87*100</f>
        <v>94.28541796307822</v>
      </c>
      <c r="Q87" s="25">
        <f t="shared" si="49"/>
        <v>-331.2999999999993</v>
      </c>
      <c r="R87" s="25">
        <f t="shared" si="50"/>
        <v>-330.59999999999945</v>
      </c>
      <c r="S87" s="347"/>
      <c r="T87" s="348"/>
      <c r="U87" s="348"/>
      <c r="V87" s="348"/>
      <c r="W87" s="390"/>
      <c r="X87" s="348"/>
    </row>
    <row r="88" spans="1:24" s="414" customFormat="1" ht="31.5">
      <c r="A88" s="342" t="s">
        <v>344</v>
      </c>
      <c r="B88" s="325"/>
      <c r="C88" s="3">
        <v>7805.3</v>
      </c>
      <c r="D88" s="3">
        <v>3087</v>
      </c>
      <c r="E88" s="25">
        <f t="shared" si="54"/>
        <v>477.5999999999999</v>
      </c>
      <c r="F88" s="25">
        <f t="shared" si="48"/>
        <v>115.47133138969873</v>
      </c>
      <c r="G88" s="3">
        <v>7131.5</v>
      </c>
      <c r="H88" s="25">
        <f>ROUND(G88*$T$6,1)</f>
        <v>4160</v>
      </c>
      <c r="I88" s="3">
        <f>ROUND((G88*$T$7+G88*$T$8),1)</f>
        <v>3781.9</v>
      </c>
      <c r="J88" s="3">
        <v>4158.7</v>
      </c>
      <c r="K88" s="3">
        <v>3780.6</v>
      </c>
      <c r="L88" s="3">
        <f>2970.5+594.1</f>
        <v>3564.6</v>
      </c>
      <c r="M88" s="3" t="e">
        <f>L88-#REF!</f>
        <v>#REF!</v>
      </c>
      <c r="N88" s="3">
        <f t="shared" si="36"/>
        <v>49.98387436023277</v>
      </c>
      <c r="O88" s="25">
        <f>L88/I88*100</f>
        <v>94.25421084639996</v>
      </c>
      <c r="P88" s="3">
        <f>L88/K88*100</f>
        <v>94.28662117124266</v>
      </c>
      <c r="Q88" s="25">
        <f t="shared" si="49"/>
        <v>-217.30000000000018</v>
      </c>
      <c r="R88" s="25">
        <f t="shared" si="50"/>
        <v>-216</v>
      </c>
      <c r="S88" s="347"/>
      <c r="T88" s="348"/>
      <c r="U88" s="348"/>
      <c r="V88" s="348"/>
      <c r="W88" s="390"/>
      <c r="X88" s="348"/>
    </row>
    <row r="89" spans="1:24" s="414" customFormat="1" ht="31.5">
      <c r="A89" s="342" t="s">
        <v>45</v>
      </c>
      <c r="B89" s="325"/>
      <c r="C89" s="3">
        <f>C90</f>
        <v>341</v>
      </c>
      <c r="D89" s="3">
        <f>D90</f>
        <v>0</v>
      </c>
      <c r="E89" s="3">
        <f>E90</f>
        <v>0</v>
      </c>
      <c r="F89" s="255" t="e">
        <f>F90</f>
        <v>#DIV/0!</v>
      </c>
      <c r="G89" s="3">
        <f>G90</f>
        <v>1154.3</v>
      </c>
      <c r="H89" s="3">
        <f aca="true" t="shared" si="58" ref="H89:R89">H90</f>
        <v>673.3</v>
      </c>
      <c r="I89" s="3">
        <f t="shared" si="58"/>
        <v>612.1</v>
      </c>
      <c r="J89" s="3">
        <f t="shared" si="58"/>
        <v>761.3</v>
      </c>
      <c r="K89" s="3">
        <f t="shared" si="58"/>
        <v>602.2</v>
      </c>
      <c r="L89" s="3">
        <f t="shared" si="58"/>
        <v>0</v>
      </c>
      <c r="M89" s="3" t="e">
        <f>L89-#REF!</f>
        <v>#REF!</v>
      </c>
      <c r="N89" s="3">
        <f t="shared" si="58"/>
        <v>0</v>
      </c>
      <c r="O89" s="3">
        <f t="shared" si="58"/>
        <v>0</v>
      </c>
      <c r="P89" s="3">
        <f t="shared" si="58"/>
        <v>0</v>
      </c>
      <c r="Q89" s="3">
        <f t="shared" si="58"/>
        <v>-612.1</v>
      </c>
      <c r="R89" s="3">
        <f t="shared" si="58"/>
        <v>-602.2</v>
      </c>
      <c r="S89" s="347"/>
      <c r="T89" s="348"/>
      <c r="U89" s="348"/>
      <c r="V89" s="348"/>
      <c r="W89" s="390"/>
      <c r="X89" s="348"/>
    </row>
    <row r="90" spans="1:24" s="414" customFormat="1" ht="63">
      <c r="A90" s="342" t="s">
        <v>46</v>
      </c>
      <c r="B90" s="325"/>
      <c r="C90" s="3">
        <v>341</v>
      </c>
      <c r="D90" s="3"/>
      <c r="E90" s="25">
        <f t="shared" si="54"/>
        <v>0</v>
      </c>
      <c r="F90" s="256" t="e">
        <f t="shared" si="48"/>
        <v>#DIV/0!</v>
      </c>
      <c r="G90" s="3">
        <v>1154.3</v>
      </c>
      <c r="H90" s="25">
        <f t="shared" si="56"/>
        <v>673.3</v>
      </c>
      <c r="I90" s="3">
        <f t="shared" si="57"/>
        <v>612.1</v>
      </c>
      <c r="J90" s="3">
        <v>761.3</v>
      </c>
      <c r="K90" s="3">
        <v>602.2</v>
      </c>
      <c r="L90" s="3"/>
      <c r="M90" s="9" t="e">
        <f>L90-#REF!</f>
        <v>#REF!</v>
      </c>
      <c r="N90" s="255">
        <f t="shared" si="36"/>
        <v>0</v>
      </c>
      <c r="O90" s="256">
        <f aca="true" t="shared" si="59" ref="O90:O96">L90/I90*100</f>
        <v>0</v>
      </c>
      <c r="P90" s="255">
        <f aca="true" t="shared" si="60" ref="P90:P96">L90/K90*100</f>
        <v>0</v>
      </c>
      <c r="Q90" s="25">
        <f t="shared" si="49"/>
        <v>-612.1</v>
      </c>
      <c r="R90" s="25">
        <f t="shared" si="50"/>
        <v>-602.2</v>
      </c>
      <c r="S90" s="347"/>
      <c r="T90" s="348"/>
      <c r="U90" s="348"/>
      <c r="V90" s="348"/>
      <c r="W90" s="390"/>
      <c r="X90" s="348"/>
    </row>
    <row r="91" spans="1:24" s="414" customFormat="1" ht="63">
      <c r="A91" s="342" t="s">
        <v>345</v>
      </c>
      <c r="B91" s="325">
        <v>41052000</v>
      </c>
      <c r="C91" s="3">
        <v>3320.6</v>
      </c>
      <c r="D91" s="3">
        <v>3320.6</v>
      </c>
      <c r="E91" s="25">
        <f t="shared" si="54"/>
        <v>2158.1</v>
      </c>
      <c r="F91" s="25">
        <f t="shared" si="48"/>
        <v>164.9912666385593</v>
      </c>
      <c r="G91" s="3">
        <v>6911.5</v>
      </c>
      <c r="H91" s="25">
        <f>ROUND(G91*$T$6,1)</f>
        <v>4031.7</v>
      </c>
      <c r="I91" s="3">
        <f>ROUND((G91*$T$7+G91*$T$8),1)</f>
        <v>3665.2</v>
      </c>
      <c r="J91" s="3">
        <v>3798.6</v>
      </c>
      <c r="K91" s="3">
        <v>3456.6</v>
      </c>
      <c r="L91" s="3">
        <v>5478.7</v>
      </c>
      <c r="M91" s="3" t="e">
        <f>L91-#REF!</f>
        <v>#REF!</v>
      </c>
      <c r="N91" s="3">
        <f t="shared" si="36"/>
        <v>79.26933371916371</v>
      </c>
      <c r="O91" s="25">
        <f t="shared" si="59"/>
        <v>149.47888246207575</v>
      </c>
      <c r="P91" s="3">
        <f t="shared" si="60"/>
        <v>158.49968176821153</v>
      </c>
      <c r="Q91" s="25">
        <f t="shared" si="49"/>
        <v>1813.5</v>
      </c>
      <c r="R91" s="25">
        <f t="shared" si="50"/>
        <v>2022.1</v>
      </c>
      <c r="S91" s="347"/>
      <c r="T91" s="348"/>
      <c r="U91" s="348"/>
      <c r="V91" s="348"/>
      <c r="W91" s="390"/>
      <c r="X91" s="348"/>
    </row>
    <row r="92" spans="1:24" s="414" customFormat="1" ht="63">
      <c r="A92" s="342" t="s">
        <v>357</v>
      </c>
      <c r="B92" s="325">
        <v>41052300</v>
      </c>
      <c r="C92" s="3">
        <v>35491.8</v>
      </c>
      <c r="D92" s="3">
        <v>35491.8</v>
      </c>
      <c r="E92" s="25">
        <f t="shared" si="54"/>
        <v>40609.8</v>
      </c>
      <c r="F92" s="25">
        <f t="shared" si="48"/>
        <v>214.4202322790053</v>
      </c>
      <c r="G92" s="3"/>
      <c r="H92" s="25">
        <f t="shared" si="56"/>
        <v>0</v>
      </c>
      <c r="I92" s="3">
        <f t="shared" si="57"/>
        <v>0</v>
      </c>
      <c r="J92" s="3"/>
      <c r="K92" s="3"/>
      <c r="L92" s="3">
        <v>76101.6</v>
      </c>
      <c r="M92" s="9" t="e">
        <f>L92-#REF!</f>
        <v>#REF!</v>
      </c>
      <c r="N92" s="255" t="e">
        <f t="shared" si="36"/>
        <v>#DIV/0!</v>
      </c>
      <c r="O92" s="256" t="e">
        <f t="shared" si="59"/>
        <v>#DIV/0!</v>
      </c>
      <c r="P92" s="255" t="e">
        <f t="shared" si="60"/>
        <v>#DIV/0!</v>
      </c>
      <c r="Q92" s="25">
        <f t="shared" si="49"/>
        <v>76101.6</v>
      </c>
      <c r="R92" s="25">
        <f t="shared" si="50"/>
        <v>76101.6</v>
      </c>
      <c r="S92" s="347"/>
      <c r="T92" s="348"/>
      <c r="U92" s="348"/>
      <c r="V92" s="348"/>
      <c r="W92" s="390"/>
      <c r="X92" s="348"/>
    </row>
    <row r="93" spans="1:24" s="414" customFormat="1" ht="63">
      <c r="A93" s="342" t="s">
        <v>346</v>
      </c>
      <c r="B93" s="325">
        <v>41053300</v>
      </c>
      <c r="C93" s="3">
        <v>130.1</v>
      </c>
      <c r="D93" s="3">
        <v>130.1</v>
      </c>
      <c r="E93" s="25">
        <f t="shared" si="54"/>
        <v>6713.2</v>
      </c>
      <c r="F93" s="25">
        <f t="shared" si="48"/>
        <v>5260.030745580323</v>
      </c>
      <c r="G93" s="3">
        <f>131.3+78.4</f>
        <v>209.70000000000002</v>
      </c>
      <c r="H93" s="25">
        <f>ROUND(G93*$T$6,1)</f>
        <v>122.3</v>
      </c>
      <c r="I93" s="3">
        <f>ROUND((G93*$T$7+G93*$T$8),1)</f>
        <v>111.2</v>
      </c>
      <c r="J93" s="3">
        <v>192.2</v>
      </c>
      <c r="K93" s="3">
        <v>191.4</v>
      </c>
      <c r="L93" s="3">
        <v>6843.3</v>
      </c>
      <c r="M93" s="3" t="e">
        <f>L93-#REF!</f>
        <v>#REF!</v>
      </c>
      <c r="N93" s="3">
        <f t="shared" si="36"/>
        <v>3263.3762517882687</v>
      </c>
      <c r="O93" s="25">
        <f t="shared" si="59"/>
        <v>6154.046762589928</v>
      </c>
      <c r="P93" s="3">
        <f t="shared" si="60"/>
        <v>3575.3918495297803</v>
      </c>
      <c r="Q93" s="25">
        <f t="shared" si="49"/>
        <v>6732.1</v>
      </c>
      <c r="R93" s="25">
        <f t="shared" si="50"/>
        <v>6651.900000000001</v>
      </c>
      <c r="S93" s="347"/>
      <c r="T93" s="348"/>
      <c r="U93" s="348"/>
      <c r="V93" s="348"/>
      <c r="W93" s="390"/>
      <c r="X93" s="348"/>
    </row>
    <row r="94" spans="1:24" s="414" customFormat="1" ht="31.5">
      <c r="A94" s="342" t="s">
        <v>347</v>
      </c>
      <c r="B94" s="325">
        <v>41053900</v>
      </c>
      <c r="C94" s="3">
        <f>SUM(C95:C108)</f>
        <v>4457.5</v>
      </c>
      <c r="D94" s="3">
        <f>SUM(D95:D109)</f>
        <v>2513.7</v>
      </c>
      <c r="E94" s="25">
        <f t="shared" si="54"/>
        <v>1614.1999999999998</v>
      </c>
      <c r="F94" s="25">
        <f t="shared" si="48"/>
        <v>164.21609579504317</v>
      </c>
      <c r="G94" s="3">
        <f aca="true" t="shared" si="61" ref="G94:L94">SUM(G95:G109)</f>
        <v>5459.1</v>
      </c>
      <c r="H94" s="3">
        <f t="shared" si="61"/>
        <v>3184.5</v>
      </c>
      <c r="I94" s="3">
        <f t="shared" si="61"/>
        <v>2895</v>
      </c>
      <c r="J94" s="3">
        <f t="shared" si="61"/>
        <v>4951.4</v>
      </c>
      <c r="K94" s="3">
        <f t="shared" si="61"/>
        <v>4899.7</v>
      </c>
      <c r="L94" s="3">
        <f t="shared" si="61"/>
        <v>4127.9</v>
      </c>
      <c r="M94" s="3" t="e">
        <f>L94-#REF!</f>
        <v>#REF!</v>
      </c>
      <c r="N94" s="3">
        <f t="shared" si="36"/>
        <v>75.61502811818796</v>
      </c>
      <c r="O94" s="25">
        <f t="shared" si="59"/>
        <v>142.58721934369603</v>
      </c>
      <c r="P94" s="3">
        <f t="shared" si="60"/>
        <v>84.24801518460313</v>
      </c>
      <c r="Q94" s="25">
        <f t="shared" si="49"/>
        <v>1232.8999999999996</v>
      </c>
      <c r="R94" s="25">
        <f t="shared" si="50"/>
        <v>-771.8000000000002</v>
      </c>
      <c r="S94" s="347"/>
      <c r="T94" s="348"/>
      <c r="U94" s="348"/>
      <c r="V94" s="348"/>
      <c r="W94" s="390"/>
      <c r="X94" s="348"/>
    </row>
    <row r="95" spans="1:24" s="414" customFormat="1" ht="126">
      <c r="A95" s="342" t="s">
        <v>348</v>
      </c>
      <c r="B95" s="325"/>
      <c r="C95" s="3">
        <v>910.6</v>
      </c>
      <c r="D95" s="3">
        <v>389.7</v>
      </c>
      <c r="E95" s="25">
        <f t="shared" si="54"/>
        <v>160.50000000000006</v>
      </c>
      <c r="F95" s="25">
        <f t="shared" si="48"/>
        <v>141.18552732871441</v>
      </c>
      <c r="G95" s="3">
        <v>564.2</v>
      </c>
      <c r="H95" s="3">
        <f>ROUND(G95*$T$6,1)</f>
        <v>329.1</v>
      </c>
      <c r="I95" s="3">
        <f>ROUND((G95*$T$7+G95*$T$8),1)</f>
        <v>299.2</v>
      </c>
      <c r="J95" s="3">
        <v>564.2</v>
      </c>
      <c r="K95" s="3">
        <v>564.2</v>
      </c>
      <c r="L95" s="3">
        <v>550.2</v>
      </c>
      <c r="M95" s="3" t="e">
        <f>L95-#REF!</f>
        <v>#REF!</v>
      </c>
      <c r="N95" s="3">
        <f>L95/G95*100</f>
        <v>97.51861042183623</v>
      </c>
      <c r="O95" s="25">
        <f t="shared" si="59"/>
        <v>183.89037433155082</v>
      </c>
      <c r="P95" s="3">
        <f t="shared" si="60"/>
        <v>97.51861042183623</v>
      </c>
      <c r="Q95" s="25">
        <f>L95-I95</f>
        <v>251.00000000000006</v>
      </c>
      <c r="R95" s="25">
        <f>L95-K95</f>
        <v>-14</v>
      </c>
      <c r="S95" s="347"/>
      <c r="T95" s="348"/>
      <c r="U95" s="348"/>
      <c r="V95" s="348"/>
      <c r="W95" s="390"/>
      <c r="X95" s="348"/>
    </row>
    <row r="96" spans="1:24" s="414" customFormat="1" ht="31.5">
      <c r="A96" s="342" t="s">
        <v>349</v>
      </c>
      <c r="B96" s="325"/>
      <c r="C96" s="3">
        <v>361.7</v>
      </c>
      <c r="D96" s="3">
        <v>159.3</v>
      </c>
      <c r="E96" s="25">
        <f t="shared" si="54"/>
        <v>50.5</v>
      </c>
      <c r="F96" s="25">
        <f t="shared" si="48"/>
        <v>131.70119271814187</v>
      </c>
      <c r="G96" s="3">
        <v>279.3</v>
      </c>
      <c r="H96" s="3">
        <f t="shared" si="56"/>
        <v>162.9</v>
      </c>
      <c r="I96" s="3">
        <f>ROUND((G96*$T$7+G96*$T$8),1)</f>
        <v>148.1</v>
      </c>
      <c r="J96" s="3">
        <v>272.9</v>
      </c>
      <c r="K96" s="3">
        <v>271.2</v>
      </c>
      <c r="L96" s="3">
        <v>209.8</v>
      </c>
      <c r="M96" s="3" t="e">
        <f>L96-#REF!</f>
        <v>#REF!</v>
      </c>
      <c r="N96" s="3">
        <f>L96/G96*100</f>
        <v>75.11636233440746</v>
      </c>
      <c r="O96" s="25">
        <f t="shared" si="59"/>
        <v>141.66103983794736</v>
      </c>
      <c r="P96" s="3">
        <f t="shared" si="60"/>
        <v>77.35988200589972</v>
      </c>
      <c r="Q96" s="25">
        <f>L96-I96</f>
        <v>61.70000000000002</v>
      </c>
      <c r="R96" s="25">
        <f>L96-K96</f>
        <v>-61.39999999999998</v>
      </c>
      <c r="S96" s="347"/>
      <c r="T96" s="348"/>
      <c r="U96" s="348"/>
      <c r="V96" s="348"/>
      <c r="W96" s="390"/>
      <c r="X96" s="348"/>
    </row>
    <row r="97" spans="1:24" s="414" customFormat="1" ht="63">
      <c r="A97" s="342" t="s">
        <v>8</v>
      </c>
      <c r="B97" s="325"/>
      <c r="C97" s="3"/>
      <c r="D97" s="3"/>
      <c r="E97" s="25"/>
      <c r="F97" s="256"/>
      <c r="G97" s="3">
        <v>510.1</v>
      </c>
      <c r="H97" s="3">
        <f>ROUND(G97*$T$6,1)</f>
        <v>297.6</v>
      </c>
      <c r="I97" s="3">
        <f>ROUND((G97*$T$7+G97*$T$8),1)</f>
        <v>270.5</v>
      </c>
      <c r="J97" s="3">
        <v>510.1</v>
      </c>
      <c r="K97" s="3">
        <v>510.1</v>
      </c>
      <c r="L97" s="3">
        <v>162.8</v>
      </c>
      <c r="M97" s="3" t="e">
        <f>L97-#REF!</f>
        <v>#REF!</v>
      </c>
      <c r="N97" s="3"/>
      <c r="O97" s="25"/>
      <c r="P97" s="3"/>
      <c r="Q97" s="25"/>
      <c r="R97" s="25"/>
      <c r="S97" s="347"/>
      <c r="T97" s="348"/>
      <c r="U97" s="348"/>
      <c r="V97" s="348"/>
      <c r="W97" s="390"/>
      <c r="X97" s="348"/>
    </row>
    <row r="98" spans="1:24" s="414" customFormat="1" ht="78.75">
      <c r="A98" s="342" t="s">
        <v>9</v>
      </c>
      <c r="B98" s="325"/>
      <c r="C98" s="3"/>
      <c r="D98" s="3"/>
      <c r="E98" s="25"/>
      <c r="F98" s="256"/>
      <c r="G98" s="3">
        <v>651.3</v>
      </c>
      <c r="H98" s="3">
        <f>ROUND(G98*$T$6,1)</f>
        <v>379.9</v>
      </c>
      <c r="I98" s="3">
        <f>ROUND((G98*$T$7+G98*$T$8),1)</f>
        <v>345.4</v>
      </c>
      <c r="J98" s="3">
        <v>651.3</v>
      </c>
      <c r="K98" s="3">
        <v>651.3</v>
      </c>
      <c r="L98" s="3">
        <v>651.3</v>
      </c>
      <c r="M98" s="3" t="e">
        <f>L98-#REF!</f>
        <v>#REF!</v>
      </c>
      <c r="N98" s="3"/>
      <c r="O98" s="25"/>
      <c r="P98" s="3"/>
      <c r="Q98" s="25"/>
      <c r="R98" s="25"/>
      <c r="S98" s="347"/>
      <c r="T98" s="348"/>
      <c r="U98" s="348"/>
      <c r="V98" s="348"/>
      <c r="W98" s="390"/>
      <c r="X98" s="348"/>
    </row>
    <row r="99" spans="1:24" s="414" customFormat="1" ht="78.75">
      <c r="A99" s="342" t="s">
        <v>10</v>
      </c>
      <c r="B99" s="325"/>
      <c r="C99" s="3">
        <v>1167.7</v>
      </c>
      <c r="D99" s="3">
        <v>1168</v>
      </c>
      <c r="E99" s="25">
        <f>L99-D99</f>
        <v>531.7</v>
      </c>
      <c r="F99" s="25">
        <f>L99/D99*100</f>
        <v>145.52226027397262</v>
      </c>
      <c r="G99" s="3">
        <v>1699.6</v>
      </c>
      <c r="H99" s="3">
        <f>ROUND(G99*$T$6,1)</f>
        <v>991.4</v>
      </c>
      <c r="I99" s="3">
        <f>ROUND((G99*$T$7+G99*$T$8),1)</f>
        <v>901.3</v>
      </c>
      <c r="J99" s="3">
        <v>1699.7</v>
      </c>
      <c r="K99" s="3">
        <v>1699.7</v>
      </c>
      <c r="L99" s="3">
        <v>1699.7</v>
      </c>
      <c r="M99" s="3" t="e">
        <f>L99-#REF!</f>
        <v>#REF!</v>
      </c>
      <c r="N99" s="3">
        <f>L99/G99*100</f>
        <v>100.00588373734998</v>
      </c>
      <c r="O99" s="25">
        <f>L99/I99*100</f>
        <v>188.58315766115612</v>
      </c>
      <c r="P99" s="3">
        <f>L99/K99*100</f>
        <v>100</v>
      </c>
      <c r="Q99" s="25">
        <f>L99-I99</f>
        <v>798.4000000000001</v>
      </c>
      <c r="R99" s="25">
        <f>L99-K99</f>
        <v>0</v>
      </c>
      <c r="S99" s="347"/>
      <c r="T99" s="348"/>
      <c r="U99" s="348"/>
      <c r="V99" s="348"/>
      <c r="W99" s="390"/>
      <c r="X99" s="348"/>
    </row>
    <row r="100" spans="1:24" s="414" customFormat="1" ht="78.75">
      <c r="A100" s="342" t="s">
        <v>350</v>
      </c>
      <c r="B100" s="325"/>
      <c r="C100" s="3">
        <v>282</v>
      </c>
      <c r="D100" s="3">
        <v>168</v>
      </c>
      <c r="E100" s="25">
        <f t="shared" si="54"/>
        <v>-9.599999999999994</v>
      </c>
      <c r="F100" s="25">
        <f t="shared" si="48"/>
        <v>94.28571428571428</v>
      </c>
      <c r="G100" s="3">
        <v>331.7</v>
      </c>
      <c r="H100" s="3">
        <f t="shared" si="56"/>
        <v>193.5</v>
      </c>
      <c r="I100" s="3">
        <f aca="true" t="shared" si="62" ref="I100:I107">ROUND((G100*$T$7+G100*$T$8),1)</f>
        <v>175.9</v>
      </c>
      <c r="J100" s="3">
        <v>184.8</v>
      </c>
      <c r="K100" s="3">
        <v>168</v>
      </c>
      <c r="L100" s="3">
        <v>158.4</v>
      </c>
      <c r="M100" s="3" t="e">
        <f>L100-#REF!</f>
        <v>#REF!</v>
      </c>
      <c r="N100" s="3">
        <f aca="true" t="shared" si="63" ref="N100:N108">L100/G100*100</f>
        <v>47.753994573409706</v>
      </c>
      <c r="O100" s="25">
        <f aca="true" t="shared" si="64" ref="O100:O108">L100/I100*100</f>
        <v>90.0511654349062</v>
      </c>
      <c r="P100" s="3">
        <f aca="true" t="shared" si="65" ref="P100:P108">L100/K100*100</f>
        <v>94.28571428571428</v>
      </c>
      <c r="Q100" s="25">
        <f aca="true" t="shared" si="66" ref="Q100:Q108">L100-I100</f>
        <v>-17.5</v>
      </c>
      <c r="R100" s="25">
        <f aca="true" t="shared" si="67" ref="R100:R108">L100-K100</f>
        <v>-9.599999999999994</v>
      </c>
      <c r="S100" s="347"/>
      <c r="T100" s="348"/>
      <c r="U100" s="348"/>
      <c r="V100" s="348"/>
      <c r="W100" s="390"/>
      <c r="X100" s="348"/>
    </row>
    <row r="101" spans="1:24" s="414" customFormat="1" ht="24.75" customHeight="1">
      <c r="A101" s="342" t="s">
        <v>351</v>
      </c>
      <c r="B101" s="325"/>
      <c r="C101" s="3">
        <v>0.3</v>
      </c>
      <c r="D101" s="3">
        <v>0.2</v>
      </c>
      <c r="E101" s="25">
        <f t="shared" si="54"/>
        <v>-0.1</v>
      </c>
      <c r="F101" s="25">
        <f t="shared" si="48"/>
        <v>50</v>
      </c>
      <c r="G101" s="3">
        <v>0.8</v>
      </c>
      <c r="H101" s="3">
        <f t="shared" si="56"/>
        <v>0.5</v>
      </c>
      <c r="I101" s="3">
        <f t="shared" si="62"/>
        <v>0.4</v>
      </c>
      <c r="J101" s="3">
        <v>0.5</v>
      </c>
      <c r="K101" s="3">
        <v>0.4</v>
      </c>
      <c r="L101" s="3">
        <v>0.1</v>
      </c>
      <c r="M101" s="3" t="e">
        <f>L101-#REF!</f>
        <v>#REF!</v>
      </c>
      <c r="N101" s="3">
        <f t="shared" si="63"/>
        <v>12.5</v>
      </c>
      <c r="O101" s="25">
        <f t="shared" si="64"/>
        <v>25</v>
      </c>
      <c r="P101" s="3">
        <f t="shared" si="65"/>
        <v>25</v>
      </c>
      <c r="Q101" s="25">
        <f t="shared" si="66"/>
        <v>-0.30000000000000004</v>
      </c>
      <c r="R101" s="25">
        <f t="shared" si="67"/>
        <v>-0.30000000000000004</v>
      </c>
      <c r="S101" s="347"/>
      <c r="T101" s="348"/>
      <c r="U101" s="348"/>
      <c r="V101" s="348"/>
      <c r="W101" s="390"/>
      <c r="X101" s="348"/>
    </row>
    <row r="102" spans="1:24" s="414" customFormat="1" ht="47.25">
      <c r="A102" s="342" t="s">
        <v>352</v>
      </c>
      <c r="B102" s="325"/>
      <c r="C102" s="3">
        <v>390</v>
      </c>
      <c r="D102" s="3">
        <v>190</v>
      </c>
      <c r="E102" s="25">
        <f t="shared" si="54"/>
        <v>67.69999999999999</v>
      </c>
      <c r="F102" s="25">
        <f t="shared" si="48"/>
        <v>135.6315789473684</v>
      </c>
      <c r="G102" s="3">
        <v>625.1</v>
      </c>
      <c r="H102" s="3">
        <f t="shared" si="56"/>
        <v>364.6</v>
      </c>
      <c r="I102" s="3">
        <f t="shared" si="62"/>
        <v>331.5</v>
      </c>
      <c r="J102" s="3">
        <v>365</v>
      </c>
      <c r="K102" s="3">
        <v>331.9</v>
      </c>
      <c r="L102" s="3">
        <v>257.7</v>
      </c>
      <c r="M102" s="3" t="e">
        <f>L102-#REF!</f>
        <v>#REF!</v>
      </c>
      <c r="N102" s="3">
        <f t="shared" si="63"/>
        <v>41.22540393537034</v>
      </c>
      <c r="O102" s="25">
        <f t="shared" si="64"/>
        <v>77.73755656108598</v>
      </c>
      <c r="P102" s="3">
        <f t="shared" si="65"/>
        <v>77.64386863513107</v>
      </c>
      <c r="Q102" s="25">
        <f t="shared" si="66"/>
        <v>-73.80000000000001</v>
      </c>
      <c r="R102" s="25">
        <f t="shared" si="67"/>
        <v>-74.19999999999999</v>
      </c>
      <c r="S102" s="347"/>
      <c r="T102" s="348"/>
      <c r="U102" s="348"/>
      <c r="V102" s="348"/>
      <c r="W102" s="390"/>
      <c r="X102" s="348"/>
    </row>
    <row r="103" spans="1:24" s="414" customFormat="1" ht="31.5">
      <c r="A103" s="342" t="s">
        <v>353</v>
      </c>
      <c r="B103" s="325"/>
      <c r="C103" s="3">
        <v>158.2</v>
      </c>
      <c r="D103" s="3">
        <v>89.8</v>
      </c>
      <c r="E103" s="25">
        <f t="shared" si="54"/>
        <v>-19.89999999999999</v>
      </c>
      <c r="F103" s="25">
        <f t="shared" si="48"/>
        <v>77.83964365256125</v>
      </c>
      <c r="G103" s="3">
        <v>200.7</v>
      </c>
      <c r="H103" s="3">
        <f t="shared" si="56"/>
        <v>117.1</v>
      </c>
      <c r="I103" s="3">
        <f t="shared" si="62"/>
        <v>106.4</v>
      </c>
      <c r="J103" s="3">
        <v>200.7</v>
      </c>
      <c r="K103" s="3">
        <v>200.7</v>
      </c>
      <c r="L103" s="3">
        <v>69.9</v>
      </c>
      <c r="M103" s="3" t="e">
        <f>L103-#REF!</f>
        <v>#REF!</v>
      </c>
      <c r="N103" s="3">
        <f t="shared" si="63"/>
        <v>34.828101644245145</v>
      </c>
      <c r="O103" s="25">
        <f t="shared" si="64"/>
        <v>65.69548872180452</v>
      </c>
      <c r="P103" s="3">
        <f t="shared" si="65"/>
        <v>34.828101644245145</v>
      </c>
      <c r="Q103" s="25">
        <f t="shared" si="66"/>
        <v>-36.5</v>
      </c>
      <c r="R103" s="25">
        <f t="shared" si="67"/>
        <v>-130.79999999999998</v>
      </c>
      <c r="S103" s="347"/>
      <c r="T103" s="348"/>
      <c r="U103" s="348"/>
      <c r="V103" s="348"/>
      <c r="W103" s="390"/>
      <c r="X103" s="348"/>
    </row>
    <row r="104" spans="1:24" s="414" customFormat="1" ht="47.25">
      <c r="A104" s="342" t="s">
        <v>354</v>
      </c>
      <c r="B104" s="325"/>
      <c r="C104" s="3">
        <v>166.9</v>
      </c>
      <c r="D104" s="3">
        <v>84.1</v>
      </c>
      <c r="E104" s="25">
        <f t="shared" si="54"/>
        <v>2.9000000000000057</v>
      </c>
      <c r="F104" s="25">
        <f t="shared" si="48"/>
        <v>103.44827586206897</v>
      </c>
      <c r="G104" s="3">
        <v>188.1</v>
      </c>
      <c r="H104" s="3">
        <f t="shared" si="56"/>
        <v>109.7</v>
      </c>
      <c r="I104" s="3">
        <f t="shared" si="62"/>
        <v>99.8</v>
      </c>
      <c r="J104" s="3">
        <v>94</v>
      </c>
      <c r="K104" s="3">
        <v>94</v>
      </c>
      <c r="L104" s="3">
        <v>87</v>
      </c>
      <c r="M104" s="3" t="e">
        <f>L104-#REF!</f>
        <v>#REF!</v>
      </c>
      <c r="N104" s="3">
        <f t="shared" si="63"/>
        <v>46.25199362041467</v>
      </c>
      <c r="O104" s="25">
        <f t="shared" si="64"/>
        <v>87.17434869739479</v>
      </c>
      <c r="P104" s="3">
        <f t="shared" si="65"/>
        <v>92.5531914893617</v>
      </c>
      <c r="Q104" s="25">
        <f t="shared" si="66"/>
        <v>-12.799999999999997</v>
      </c>
      <c r="R104" s="25">
        <f t="shared" si="67"/>
        <v>-7</v>
      </c>
      <c r="S104" s="347"/>
      <c r="T104" s="348"/>
      <c r="U104" s="348"/>
      <c r="V104" s="348"/>
      <c r="W104" s="390"/>
      <c r="X104" s="348"/>
    </row>
    <row r="105" spans="1:24" s="414" customFormat="1" ht="47.25">
      <c r="A105" s="342" t="s">
        <v>355</v>
      </c>
      <c r="B105" s="325"/>
      <c r="C105" s="3">
        <v>41.9</v>
      </c>
      <c r="D105" s="3">
        <v>34.4</v>
      </c>
      <c r="E105" s="25">
        <f t="shared" si="54"/>
        <v>-14.399999999999999</v>
      </c>
      <c r="F105" s="25">
        <f t="shared" si="48"/>
        <v>58.139534883720934</v>
      </c>
      <c r="G105" s="3">
        <v>55</v>
      </c>
      <c r="H105" s="3">
        <f t="shared" si="56"/>
        <v>32.1</v>
      </c>
      <c r="I105" s="3">
        <f t="shared" si="62"/>
        <v>29.2</v>
      </c>
      <c r="J105" s="3">
        <v>55</v>
      </c>
      <c r="K105" s="3">
        <v>55</v>
      </c>
      <c r="L105" s="3">
        <f>15+2.5+2.5</f>
        <v>20</v>
      </c>
      <c r="M105" s="3" t="e">
        <f>L105-#REF!</f>
        <v>#REF!</v>
      </c>
      <c r="N105" s="3">
        <f t="shared" si="63"/>
        <v>36.36363636363637</v>
      </c>
      <c r="O105" s="25">
        <f t="shared" si="64"/>
        <v>68.4931506849315</v>
      </c>
      <c r="P105" s="3">
        <f t="shared" si="65"/>
        <v>36.36363636363637</v>
      </c>
      <c r="Q105" s="25">
        <f t="shared" si="66"/>
        <v>-9.2</v>
      </c>
      <c r="R105" s="25">
        <f t="shared" si="67"/>
        <v>-35</v>
      </c>
      <c r="S105" s="347"/>
      <c r="T105" s="348"/>
      <c r="U105" s="348"/>
      <c r="V105" s="348"/>
      <c r="W105" s="390"/>
      <c r="X105" s="348"/>
    </row>
    <row r="106" spans="1:24" s="414" customFormat="1" ht="63">
      <c r="A106" s="392" t="s">
        <v>324</v>
      </c>
      <c r="B106" s="325"/>
      <c r="C106" s="3">
        <v>5</v>
      </c>
      <c r="D106" s="3"/>
      <c r="E106" s="256">
        <f t="shared" si="54"/>
        <v>0</v>
      </c>
      <c r="F106" s="256" t="e">
        <f t="shared" si="48"/>
        <v>#DIV/0!</v>
      </c>
      <c r="G106" s="3"/>
      <c r="H106" s="3">
        <f t="shared" si="56"/>
        <v>0</v>
      </c>
      <c r="I106" s="3">
        <f t="shared" si="62"/>
        <v>0</v>
      </c>
      <c r="J106" s="3"/>
      <c r="K106" s="3"/>
      <c r="L106" s="3"/>
      <c r="M106" s="9" t="e">
        <f>L106-#REF!</f>
        <v>#REF!</v>
      </c>
      <c r="N106" s="255" t="e">
        <f t="shared" si="63"/>
        <v>#DIV/0!</v>
      </c>
      <c r="O106" s="256" t="e">
        <f t="shared" si="64"/>
        <v>#DIV/0!</v>
      </c>
      <c r="P106" s="255" t="e">
        <f t="shared" si="65"/>
        <v>#DIV/0!</v>
      </c>
      <c r="Q106" s="25">
        <f t="shared" si="66"/>
        <v>0</v>
      </c>
      <c r="R106" s="25">
        <f t="shared" si="67"/>
        <v>0</v>
      </c>
      <c r="S106" s="347"/>
      <c r="T106" s="348"/>
      <c r="U106" s="348"/>
      <c r="V106" s="348"/>
      <c r="W106" s="390"/>
      <c r="X106" s="348"/>
    </row>
    <row r="107" spans="1:24" s="414" customFormat="1" ht="31.5">
      <c r="A107" s="342" t="s">
        <v>23</v>
      </c>
      <c r="B107" s="325"/>
      <c r="C107" s="3">
        <v>555.5</v>
      </c>
      <c r="D107" s="3">
        <v>230.2</v>
      </c>
      <c r="E107" s="25">
        <f t="shared" si="54"/>
        <v>30.80000000000001</v>
      </c>
      <c r="F107" s="25">
        <f t="shared" si="48"/>
        <v>113.37966985230234</v>
      </c>
      <c r="G107" s="3">
        <v>261</v>
      </c>
      <c r="H107" s="3">
        <f t="shared" si="56"/>
        <v>152.3</v>
      </c>
      <c r="I107" s="3">
        <f t="shared" si="62"/>
        <v>138.4</v>
      </c>
      <c r="J107" s="3">
        <v>261</v>
      </c>
      <c r="K107" s="3">
        <v>261</v>
      </c>
      <c r="L107" s="3">
        <v>261</v>
      </c>
      <c r="M107" s="3" t="e">
        <f>L107-#REF!</f>
        <v>#REF!</v>
      </c>
      <c r="N107" s="3">
        <f>L107/G107*100</f>
        <v>100</v>
      </c>
      <c r="O107" s="25">
        <f>L107/I107*100</f>
        <v>188.58381502890174</v>
      </c>
      <c r="P107" s="3">
        <f>L107/K107*100</f>
        <v>100</v>
      </c>
      <c r="Q107" s="25">
        <f>L107-I107</f>
        <v>122.6</v>
      </c>
      <c r="R107" s="25">
        <f>L107-K107</f>
        <v>0</v>
      </c>
      <c r="S107" s="347"/>
      <c r="T107" s="348"/>
      <c r="U107" s="348"/>
      <c r="V107" s="348"/>
      <c r="W107" s="454"/>
      <c r="X107" s="348"/>
    </row>
    <row r="108" spans="1:24" s="414" customFormat="1" ht="31.5">
      <c r="A108" s="342" t="s">
        <v>344</v>
      </c>
      <c r="B108" s="325"/>
      <c r="C108" s="3">
        <v>417.7</v>
      </c>
      <c r="D108" s="3"/>
      <c r="E108" s="256">
        <f t="shared" si="54"/>
        <v>0</v>
      </c>
      <c r="F108" s="256" t="e">
        <f t="shared" si="48"/>
        <v>#DIV/0!</v>
      </c>
      <c r="G108" s="3"/>
      <c r="H108" s="3">
        <f>ROUND(G108*$T$6,1)</f>
        <v>0</v>
      </c>
      <c r="I108" s="3">
        <f>ROUND((G108*$T$7+G108*$T$8),1)</f>
        <v>0</v>
      </c>
      <c r="J108" s="3"/>
      <c r="K108" s="3"/>
      <c r="L108" s="3"/>
      <c r="M108" s="9" t="e">
        <f>L108-#REF!</f>
        <v>#REF!</v>
      </c>
      <c r="N108" s="255" t="e">
        <f t="shared" si="63"/>
        <v>#DIV/0!</v>
      </c>
      <c r="O108" s="256" t="e">
        <f t="shared" si="64"/>
        <v>#DIV/0!</v>
      </c>
      <c r="P108" s="255" t="e">
        <f t="shared" si="65"/>
        <v>#DIV/0!</v>
      </c>
      <c r="Q108" s="25">
        <f t="shared" si="66"/>
        <v>0</v>
      </c>
      <c r="R108" s="25">
        <f t="shared" si="67"/>
        <v>0</v>
      </c>
      <c r="S108" s="347"/>
      <c r="T108" s="348"/>
      <c r="U108" s="348"/>
      <c r="V108" s="348"/>
      <c r="W108" s="390"/>
      <c r="X108" s="348"/>
    </row>
    <row r="109" spans="1:24" s="414" customFormat="1" ht="63">
      <c r="A109" s="342" t="s">
        <v>18</v>
      </c>
      <c r="B109" s="325"/>
      <c r="C109" s="3"/>
      <c r="D109" s="3"/>
      <c r="E109" s="25">
        <f>L109-D109</f>
        <v>0</v>
      </c>
      <c r="F109" s="256"/>
      <c r="G109" s="3">
        <v>92.2</v>
      </c>
      <c r="H109" s="3">
        <f>ROUND(G109*$T$6,1)</f>
        <v>53.8</v>
      </c>
      <c r="I109" s="3">
        <f>ROUND((G109*$T$7+G109*$T$8),1)</f>
        <v>48.9</v>
      </c>
      <c r="J109" s="3">
        <v>92.2</v>
      </c>
      <c r="K109" s="3">
        <v>92.2</v>
      </c>
      <c r="L109" s="3"/>
      <c r="M109" s="9" t="e">
        <f>L109-#REF!</f>
        <v>#REF!</v>
      </c>
      <c r="N109" s="255">
        <f>L109/G109*100</f>
        <v>0</v>
      </c>
      <c r="O109" s="256">
        <f>L109/I109*100</f>
        <v>0</v>
      </c>
      <c r="P109" s="255">
        <f>L109/K109*100</f>
        <v>0</v>
      </c>
      <c r="Q109" s="25">
        <f>L109-I109</f>
        <v>-48.9</v>
      </c>
      <c r="R109" s="25">
        <f>L109-K109</f>
        <v>-92.2</v>
      </c>
      <c r="S109" s="347"/>
      <c r="T109" s="348"/>
      <c r="U109" s="348"/>
      <c r="V109" s="348"/>
      <c r="W109" s="390"/>
      <c r="X109" s="348"/>
    </row>
    <row r="110" spans="1:24" s="414" customFormat="1" ht="78.75">
      <c r="A110" s="342" t="s">
        <v>4</v>
      </c>
      <c r="B110" s="325">
        <v>41054100</v>
      </c>
      <c r="C110" s="3"/>
      <c r="D110" s="3"/>
      <c r="E110" s="25">
        <f>L110-D110</f>
        <v>226.49</v>
      </c>
      <c r="F110" s="256" t="e">
        <f>L110/D110*100</f>
        <v>#DIV/0!</v>
      </c>
      <c r="G110" s="3">
        <v>211.7</v>
      </c>
      <c r="H110" s="3">
        <f>ROUND(G110*$T$6,1)</f>
        <v>123.5</v>
      </c>
      <c r="I110" s="3">
        <f>ROUND((G110*$T$7+G110*$T$8),1)</f>
        <v>112.3</v>
      </c>
      <c r="J110" s="3">
        <v>211.7</v>
      </c>
      <c r="K110" s="3">
        <v>211.7</v>
      </c>
      <c r="L110" s="3">
        <v>226.49</v>
      </c>
      <c r="M110" s="3" t="e">
        <f>L110-#REF!</f>
        <v>#REF!</v>
      </c>
      <c r="N110" s="3">
        <f>L110/G110*100</f>
        <v>106.98630136986303</v>
      </c>
      <c r="O110" s="25">
        <f>L110/I110*100</f>
        <v>201.6829919857525</v>
      </c>
      <c r="P110" s="3">
        <f>L110/K110*100</f>
        <v>106.98630136986303</v>
      </c>
      <c r="Q110" s="25">
        <f>L110-I110</f>
        <v>114.19000000000001</v>
      </c>
      <c r="R110" s="25">
        <f>L110-K110</f>
        <v>14.79000000000002</v>
      </c>
      <c r="S110" s="347"/>
      <c r="T110" s="348"/>
      <c r="U110" s="348"/>
      <c r="V110" s="348"/>
      <c r="W110" s="390"/>
      <c r="X110" s="348"/>
    </row>
    <row r="111" spans="1:24" s="425" customFormat="1" ht="25.5" customHeight="1">
      <c r="A111" s="401" t="s">
        <v>236</v>
      </c>
      <c r="B111" s="393"/>
      <c r="C111" s="205">
        <f>C62+C63</f>
        <v>2768350</v>
      </c>
      <c r="D111" s="205">
        <f>D62+D63</f>
        <v>2753799.4</v>
      </c>
      <c r="E111" s="250">
        <f>L111-D111</f>
        <v>453884.00544</v>
      </c>
      <c r="F111" s="250">
        <f>L111/D111*100</f>
        <v>116.48210125399838</v>
      </c>
      <c r="G111" s="250">
        <f aca="true" t="shared" si="68" ref="G111:M111">G62+G63</f>
        <v>3261526.3</v>
      </c>
      <c r="H111" s="218">
        <f t="shared" si="68"/>
        <v>1902557.0000000002</v>
      </c>
      <c r="I111" s="218">
        <f t="shared" si="68"/>
        <v>1729597.3399999999</v>
      </c>
      <c r="J111" s="218">
        <f t="shared" si="68"/>
        <v>1896225.9</v>
      </c>
      <c r="K111" s="218">
        <f t="shared" si="68"/>
        <v>1766423.9000000001</v>
      </c>
      <c r="L111" s="218">
        <f t="shared" si="68"/>
        <v>3207683.40544</v>
      </c>
      <c r="M111" s="218" t="e">
        <f t="shared" si="68"/>
        <v>#REF!</v>
      </c>
      <c r="N111" s="218">
        <f>L111/G111*100</f>
        <v>98.34915037907253</v>
      </c>
      <c r="O111" s="250">
        <f>L111/I111*100</f>
        <v>185.45839145659187</v>
      </c>
      <c r="P111" s="218">
        <f>L111/K111*100</f>
        <v>181.59193868697088</v>
      </c>
      <c r="Q111" s="250">
        <f>L111-I111</f>
        <v>1478086.06544</v>
      </c>
      <c r="R111" s="218">
        <f>L111-K111</f>
        <v>1441259.5054399997</v>
      </c>
      <c r="S111" s="394">
        <f aca="true" t="shared" si="69" ref="S111:S136">L111-I111-Q111</f>
        <v>0</v>
      </c>
      <c r="T111" s="395">
        <f aca="true" t="shared" si="70" ref="T111:T136">L111-K111-R111</f>
        <v>0</v>
      </c>
      <c r="U111" s="395">
        <f aca="true" t="shared" si="71" ref="U111:U136">L111/G111*100-N111</f>
        <v>0</v>
      </c>
      <c r="V111" s="395">
        <f aca="true" t="shared" si="72" ref="V111:V136">L111/I111*100-O111</f>
        <v>0</v>
      </c>
      <c r="W111" s="396">
        <f aca="true" t="shared" si="73" ref="W111:W136">H111-I111</f>
        <v>172959.66000000038</v>
      </c>
      <c r="X111" s="395">
        <f aca="true" t="shared" si="74" ref="X111:X136">J111-K111</f>
        <v>129801.99999999977</v>
      </c>
    </row>
    <row r="112" spans="1:24" s="414" customFormat="1" ht="21.75" customHeight="1">
      <c r="A112" s="827" t="s">
        <v>237</v>
      </c>
      <c r="B112" s="828"/>
      <c r="C112" s="828"/>
      <c r="D112" s="828"/>
      <c r="E112" s="828"/>
      <c r="F112" s="828"/>
      <c r="G112" s="828"/>
      <c r="H112" s="828"/>
      <c r="I112" s="828"/>
      <c r="J112" s="828"/>
      <c r="K112" s="828"/>
      <c r="L112" s="828"/>
      <c r="M112" s="828"/>
      <c r="N112" s="828"/>
      <c r="O112" s="828"/>
      <c r="P112" s="828"/>
      <c r="Q112" s="828"/>
      <c r="R112" s="829"/>
      <c r="S112" s="321">
        <f t="shared" si="69"/>
        <v>0</v>
      </c>
      <c r="T112" s="322">
        <f t="shared" si="70"/>
        <v>0</v>
      </c>
      <c r="U112" s="322" t="e">
        <f t="shared" si="71"/>
        <v>#DIV/0!</v>
      </c>
      <c r="V112" s="322" t="e">
        <f t="shared" si="72"/>
        <v>#DIV/0!</v>
      </c>
      <c r="W112" s="323">
        <f t="shared" si="73"/>
        <v>0</v>
      </c>
      <c r="X112" s="322">
        <f t="shared" si="74"/>
        <v>0</v>
      </c>
    </row>
    <row r="113" spans="1:24" s="416" customFormat="1" ht="23.25" customHeight="1">
      <c r="A113" s="367" t="s">
        <v>66</v>
      </c>
      <c r="B113" s="368">
        <v>10000000</v>
      </c>
      <c r="C113" s="10">
        <f>C114+C116</f>
        <v>3549.9</v>
      </c>
      <c r="D113" s="10">
        <f>D114+D116</f>
        <v>2768350.1</v>
      </c>
      <c r="E113" s="6">
        <f aca="true" t="shared" si="75" ref="E113:E152">L113-D113</f>
        <v>437867.3999999999</v>
      </c>
      <c r="F113" s="6">
        <f aca="true" t="shared" si="76" ref="F113:F152">L113/D113*100</f>
        <v>115.81690841776118</v>
      </c>
      <c r="G113" s="10">
        <f aca="true" t="shared" si="77" ref="G113:M113">G114+G116</f>
        <v>3500</v>
      </c>
      <c r="H113" s="10">
        <f t="shared" si="77"/>
        <v>2041.7</v>
      </c>
      <c r="I113" s="10">
        <f t="shared" si="77"/>
        <v>1856.1</v>
      </c>
      <c r="J113" s="10">
        <f t="shared" si="77"/>
        <v>1973.7</v>
      </c>
      <c r="K113" s="10">
        <f t="shared" si="77"/>
        <v>1973.6</v>
      </c>
      <c r="L113" s="10">
        <f t="shared" si="77"/>
        <v>3206217.5</v>
      </c>
      <c r="M113" s="10" t="e">
        <f t="shared" si="77"/>
        <v>#REF!</v>
      </c>
      <c r="N113" s="10">
        <f aca="true" t="shared" si="78" ref="N113:N152">L113/G113*100</f>
        <v>91606.21428571428</v>
      </c>
      <c r="O113" s="6">
        <f aca="true" t="shared" si="79" ref="O113:O152">L113/I113*100</f>
        <v>172739.4806314315</v>
      </c>
      <c r="P113" s="10">
        <f aca="true" t="shared" si="80" ref="P113:P152">L113/K113*100</f>
        <v>162455.2847588164</v>
      </c>
      <c r="Q113" s="6">
        <f aca="true" t="shared" si="81" ref="Q113:Q152">L113-I113</f>
        <v>3204361.4</v>
      </c>
      <c r="R113" s="10">
        <f aca="true" t="shared" si="82" ref="R113:R152">L113-K113</f>
        <v>3204243.9</v>
      </c>
      <c r="S113" s="321">
        <f t="shared" si="69"/>
        <v>0</v>
      </c>
      <c r="T113" s="322">
        <f t="shared" si="70"/>
        <v>0</v>
      </c>
      <c r="U113" s="322">
        <f t="shared" si="71"/>
        <v>0</v>
      </c>
      <c r="V113" s="322">
        <f t="shared" si="72"/>
        <v>0</v>
      </c>
      <c r="W113" s="323">
        <f t="shared" si="73"/>
        <v>185.60000000000014</v>
      </c>
      <c r="X113" s="322">
        <f t="shared" si="74"/>
        <v>0.10000000000013642</v>
      </c>
    </row>
    <row r="114" spans="1:24" s="416" customFormat="1" ht="21.75" customHeight="1">
      <c r="A114" s="326" t="s">
        <v>359</v>
      </c>
      <c r="B114" s="368">
        <v>12000000</v>
      </c>
      <c r="C114" s="10">
        <f>C115</f>
        <v>3.5</v>
      </c>
      <c r="D114" s="10">
        <f>D115</f>
        <v>2768350.1</v>
      </c>
      <c r="E114" s="6">
        <f t="shared" si="75"/>
        <v>437867.3999999999</v>
      </c>
      <c r="F114" s="6">
        <f t="shared" si="76"/>
        <v>115.81690841776118</v>
      </c>
      <c r="G114" s="10">
        <f aca="true" t="shared" si="83" ref="G114:M114">G115</f>
        <v>0</v>
      </c>
      <c r="H114" s="10">
        <f t="shared" si="83"/>
        <v>0</v>
      </c>
      <c r="I114" s="10">
        <f t="shared" si="83"/>
        <v>0</v>
      </c>
      <c r="J114" s="10">
        <f t="shared" si="83"/>
        <v>0</v>
      </c>
      <c r="K114" s="10">
        <f t="shared" si="83"/>
        <v>0</v>
      </c>
      <c r="L114" s="10">
        <f t="shared" si="83"/>
        <v>3206217.5</v>
      </c>
      <c r="M114" s="10" t="e">
        <f t="shared" si="83"/>
        <v>#REF!</v>
      </c>
      <c r="N114" s="49" t="e">
        <f t="shared" si="78"/>
        <v>#DIV/0!</v>
      </c>
      <c r="O114" s="50" t="e">
        <f t="shared" si="79"/>
        <v>#DIV/0!</v>
      </c>
      <c r="P114" s="49" t="e">
        <f t="shared" si="80"/>
        <v>#DIV/0!</v>
      </c>
      <c r="Q114" s="6">
        <f t="shared" si="81"/>
        <v>3206217.5</v>
      </c>
      <c r="R114" s="10">
        <f t="shared" si="82"/>
        <v>3206217.5</v>
      </c>
      <c r="S114" s="321">
        <f t="shared" si="69"/>
        <v>0</v>
      </c>
      <c r="T114" s="322">
        <f t="shared" si="70"/>
        <v>0</v>
      </c>
      <c r="U114" s="322" t="e">
        <f t="shared" si="71"/>
        <v>#DIV/0!</v>
      </c>
      <c r="V114" s="322" t="e">
        <f t="shared" si="72"/>
        <v>#DIV/0!</v>
      </c>
      <c r="W114" s="323">
        <f t="shared" si="73"/>
        <v>0</v>
      </c>
      <c r="X114" s="322">
        <f t="shared" si="74"/>
        <v>0</v>
      </c>
    </row>
    <row r="115" spans="1:24" s="414" customFormat="1" ht="31.5">
      <c r="A115" s="374" t="s">
        <v>238</v>
      </c>
      <c r="B115" s="325">
        <v>12020000</v>
      </c>
      <c r="C115" s="7">
        <v>3.5</v>
      </c>
      <c r="D115" s="7">
        <v>2768350.1</v>
      </c>
      <c r="E115" s="25">
        <f t="shared" si="75"/>
        <v>437867.3999999999</v>
      </c>
      <c r="F115" s="25">
        <f t="shared" si="76"/>
        <v>115.81690841776118</v>
      </c>
      <c r="G115" s="7"/>
      <c r="H115" s="7">
        <f>G115*$T$6</f>
        <v>0</v>
      </c>
      <c r="I115" s="7"/>
      <c r="J115" s="7"/>
      <c r="K115" s="7"/>
      <c r="L115" s="7">
        <v>3206217.5</v>
      </c>
      <c r="M115" s="3" t="e">
        <f>L115-#REF!</f>
        <v>#REF!</v>
      </c>
      <c r="N115" s="52" t="e">
        <f t="shared" si="78"/>
        <v>#DIV/0!</v>
      </c>
      <c r="O115" s="50" t="e">
        <f t="shared" si="79"/>
        <v>#DIV/0!</v>
      </c>
      <c r="P115" s="52" t="e">
        <f t="shared" si="80"/>
        <v>#DIV/0!</v>
      </c>
      <c r="Q115" s="25">
        <f t="shared" si="81"/>
        <v>3206217.5</v>
      </c>
      <c r="R115" s="7">
        <f t="shared" si="82"/>
        <v>3206217.5</v>
      </c>
      <c r="S115" s="321">
        <f t="shared" si="69"/>
        <v>0</v>
      </c>
      <c r="T115" s="322">
        <f t="shared" si="70"/>
        <v>0</v>
      </c>
      <c r="U115" s="322" t="e">
        <f t="shared" si="71"/>
        <v>#DIV/0!</v>
      </c>
      <c r="V115" s="322" t="e">
        <f t="shared" si="72"/>
        <v>#DIV/0!</v>
      </c>
      <c r="W115" s="323">
        <f t="shared" si="73"/>
        <v>0</v>
      </c>
      <c r="X115" s="322">
        <f t="shared" si="74"/>
        <v>0</v>
      </c>
    </row>
    <row r="116" spans="1:24" s="415" customFormat="1" ht="27.75" customHeight="1">
      <c r="A116" s="328" t="s">
        <v>76</v>
      </c>
      <c r="B116" s="320" t="s">
        <v>246</v>
      </c>
      <c r="C116" s="10">
        <f>C117</f>
        <v>3546.4</v>
      </c>
      <c r="D116" s="10">
        <f>D117</f>
        <v>0</v>
      </c>
      <c r="E116" s="6">
        <f t="shared" si="75"/>
        <v>0</v>
      </c>
      <c r="F116" s="6" t="e">
        <f t="shared" si="76"/>
        <v>#DIV/0!</v>
      </c>
      <c r="G116" s="10">
        <f aca="true" t="shared" si="84" ref="G116:L116">G117</f>
        <v>3500</v>
      </c>
      <c r="H116" s="10">
        <f t="shared" si="84"/>
        <v>2041.7</v>
      </c>
      <c r="I116" s="10">
        <f t="shared" si="84"/>
        <v>1856.1</v>
      </c>
      <c r="J116" s="10">
        <f t="shared" si="84"/>
        <v>1973.7</v>
      </c>
      <c r="K116" s="10">
        <f t="shared" si="84"/>
        <v>1973.6</v>
      </c>
      <c r="L116" s="10">
        <f t="shared" si="84"/>
        <v>0</v>
      </c>
      <c r="M116" s="10" t="e">
        <f>L116-#REF!</f>
        <v>#REF!</v>
      </c>
      <c r="N116" s="62">
        <f t="shared" si="78"/>
        <v>0</v>
      </c>
      <c r="O116" s="6">
        <f t="shared" si="79"/>
        <v>0</v>
      </c>
      <c r="P116" s="62">
        <f t="shared" si="80"/>
        <v>0</v>
      </c>
      <c r="Q116" s="6">
        <f t="shared" si="81"/>
        <v>-1856.1</v>
      </c>
      <c r="R116" s="10">
        <f t="shared" si="82"/>
        <v>-1973.6</v>
      </c>
      <c r="S116" s="321">
        <f t="shared" si="69"/>
        <v>0</v>
      </c>
      <c r="T116" s="322">
        <f t="shared" si="70"/>
        <v>0</v>
      </c>
      <c r="U116" s="322">
        <f t="shared" si="71"/>
        <v>0</v>
      </c>
      <c r="V116" s="322">
        <f t="shared" si="72"/>
        <v>0</v>
      </c>
      <c r="W116" s="323">
        <f t="shared" si="73"/>
        <v>185.60000000000014</v>
      </c>
      <c r="X116" s="322">
        <f t="shared" si="74"/>
        <v>0.10000000000013642</v>
      </c>
    </row>
    <row r="117" spans="1:24" s="415" customFormat="1" ht="26.25" customHeight="1">
      <c r="A117" s="342" t="s">
        <v>247</v>
      </c>
      <c r="B117" s="325" t="s">
        <v>248</v>
      </c>
      <c r="C117" s="3">
        <v>3546.4</v>
      </c>
      <c r="D117" s="7">
        <v>0</v>
      </c>
      <c r="E117" s="25">
        <f t="shared" si="75"/>
        <v>0</v>
      </c>
      <c r="F117" s="25" t="e">
        <f t="shared" si="76"/>
        <v>#DIV/0!</v>
      </c>
      <c r="G117" s="7">
        <v>3500</v>
      </c>
      <c r="H117" s="7">
        <f>ROUND(G117*$T$6,1)</f>
        <v>2041.7</v>
      </c>
      <c r="I117" s="7">
        <f>ROUND(G117*$T$7+G117*$T$8,1)</f>
        <v>1856.1</v>
      </c>
      <c r="J117" s="7">
        <v>1973.7</v>
      </c>
      <c r="K117" s="7">
        <v>1973.6</v>
      </c>
      <c r="L117" s="7">
        <v>0</v>
      </c>
      <c r="M117" s="3" t="e">
        <f>L117-#REF!</f>
        <v>#REF!</v>
      </c>
      <c r="N117" s="63">
        <f t="shared" si="78"/>
        <v>0</v>
      </c>
      <c r="O117" s="25">
        <f t="shared" si="79"/>
        <v>0</v>
      </c>
      <c r="P117" s="63">
        <f t="shared" si="80"/>
        <v>0</v>
      </c>
      <c r="Q117" s="25">
        <f t="shared" si="81"/>
        <v>-1856.1</v>
      </c>
      <c r="R117" s="7">
        <f t="shared" si="82"/>
        <v>-1973.6</v>
      </c>
      <c r="S117" s="321">
        <f t="shared" si="69"/>
        <v>0</v>
      </c>
      <c r="T117" s="322">
        <f t="shared" si="70"/>
        <v>0</v>
      </c>
      <c r="U117" s="322">
        <f t="shared" si="71"/>
        <v>0</v>
      </c>
      <c r="V117" s="322">
        <f t="shared" si="72"/>
        <v>0</v>
      </c>
      <c r="W117" s="323">
        <f t="shared" si="73"/>
        <v>185.60000000000014</v>
      </c>
      <c r="X117" s="322">
        <f t="shared" si="74"/>
        <v>0.10000000000013642</v>
      </c>
    </row>
    <row r="118" spans="1:24" s="416" customFormat="1" ht="27" customHeight="1">
      <c r="A118" s="328" t="s">
        <v>77</v>
      </c>
      <c r="B118" s="320">
        <v>20000000</v>
      </c>
      <c r="C118" s="10">
        <f>C119+C127</f>
        <v>73829.9</v>
      </c>
      <c r="D118" s="10">
        <f>D119+D127</f>
        <v>18102.3574</v>
      </c>
      <c r="E118" s="6">
        <f t="shared" si="75"/>
        <v>12249.942600000002</v>
      </c>
      <c r="F118" s="100">
        <f t="shared" si="76"/>
        <v>167.67042727816212</v>
      </c>
      <c r="G118" s="10">
        <f aca="true" t="shared" si="85" ref="G118:L118">G119+G127</f>
        <v>72030.09999999999</v>
      </c>
      <c r="H118" s="10">
        <f t="shared" si="85"/>
        <v>42017.5</v>
      </c>
      <c r="I118" s="10">
        <f t="shared" si="85"/>
        <v>38197.8</v>
      </c>
      <c r="J118" s="10">
        <f t="shared" si="85"/>
        <v>41613.3</v>
      </c>
      <c r="K118" s="10">
        <f t="shared" si="85"/>
        <v>37794.200000000004</v>
      </c>
      <c r="L118" s="10">
        <f t="shared" si="85"/>
        <v>30352.300000000003</v>
      </c>
      <c r="M118" s="10" t="e">
        <f>L118-#REF!</f>
        <v>#REF!</v>
      </c>
      <c r="N118" s="10">
        <f t="shared" si="78"/>
        <v>42.138356048374234</v>
      </c>
      <c r="O118" s="6">
        <f t="shared" si="79"/>
        <v>79.46085900235093</v>
      </c>
      <c r="P118" s="10">
        <f t="shared" si="80"/>
        <v>80.30941255536564</v>
      </c>
      <c r="Q118" s="6">
        <f t="shared" si="81"/>
        <v>-7845.5</v>
      </c>
      <c r="R118" s="10">
        <f t="shared" si="82"/>
        <v>-7441.9000000000015</v>
      </c>
      <c r="S118" s="321">
        <f t="shared" si="69"/>
        <v>0</v>
      </c>
      <c r="T118" s="322">
        <f t="shared" si="70"/>
        <v>0</v>
      </c>
      <c r="U118" s="322">
        <f t="shared" si="71"/>
        <v>0</v>
      </c>
      <c r="V118" s="322">
        <f t="shared" si="72"/>
        <v>0</v>
      </c>
      <c r="W118" s="323">
        <f t="shared" si="73"/>
        <v>3819.699999999997</v>
      </c>
      <c r="X118" s="322">
        <f t="shared" si="74"/>
        <v>3819.0999999999985</v>
      </c>
    </row>
    <row r="119" spans="1:24" s="416" customFormat="1" ht="21.75" customHeight="1">
      <c r="A119" s="328" t="s">
        <v>89</v>
      </c>
      <c r="B119" s="320">
        <v>24000000</v>
      </c>
      <c r="C119" s="10">
        <f>C120+C123+C126</f>
        <v>7112.2</v>
      </c>
      <c r="D119" s="10">
        <f>D120+D123+D126</f>
        <v>18102.3574</v>
      </c>
      <c r="E119" s="6">
        <f t="shared" si="75"/>
        <v>12249.942600000002</v>
      </c>
      <c r="F119" s="6">
        <f t="shared" si="76"/>
        <v>167.67042727816212</v>
      </c>
      <c r="G119" s="10">
        <f aca="true" t="shared" si="86" ref="G119:L119">G120+G123+G126</f>
        <v>1863.9</v>
      </c>
      <c r="H119" s="10">
        <f t="shared" si="86"/>
        <v>1087.2</v>
      </c>
      <c r="I119" s="10">
        <f t="shared" si="86"/>
        <v>988.5</v>
      </c>
      <c r="J119" s="10">
        <f t="shared" si="86"/>
        <v>683</v>
      </c>
      <c r="K119" s="10">
        <f>K120+K123+K126</f>
        <v>584.9</v>
      </c>
      <c r="L119" s="10">
        <f t="shared" si="86"/>
        <v>30352.300000000003</v>
      </c>
      <c r="M119" s="10" t="e">
        <f>L119-#REF!</f>
        <v>#REF!</v>
      </c>
      <c r="N119" s="62">
        <f t="shared" si="78"/>
        <v>1628.4296367830893</v>
      </c>
      <c r="O119" s="6">
        <f t="shared" si="79"/>
        <v>3070.541224076884</v>
      </c>
      <c r="P119" s="62">
        <f t="shared" si="80"/>
        <v>5189.314412720124</v>
      </c>
      <c r="Q119" s="6">
        <f t="shared" si="81"/>
        <v>29363.800000000003</v>
      </c>
      <c r="R119" s="10">
        <f t="shared" si="82"/>
        <v>29767.4</v>
      </c>
      <c r="S119" s="321">
        <f t="shared" si="69"/>
        <v>0</v>
      </c>
      <c r="T119" s="322">
        <f t="shared" si="70"/>
        <v>0</v>
      </c>
      <c r="U119" s="322">
        <f t="shared" si="71"/>
        <v>0</v>
      </c>
      <c r="V119" s="322">
        <f t="shared" si="72"/>
        <v>0</v>
      </c>
      <c r="W119" s="323">
        <f t="shared" si="73"/>
        <v>98.70000000000005</v>
      </c>
      <c r="X119" s="322">
        <f t="shared" si="74"/>
        <v>98.10000000000002</v>
      </c>
    </row>
    <row r="120" spans="1:24" s="413" customFormat="1" ht="18" customHeight="1">
      <c r="A120" s="339" t="s">
        <v>358</v>
      </c>
      <c r="B120" s="325">
        <v>24060000</v>
      </c>
      <c r="C120" s="7">
        <f>C122+C121</f>
        <v>376.9</v>
      </c>
      <c r="D120" s="7">
        <f>D121+D122</f>
        <v>736.5</v>
      </c>
      <c r="E120" s="25">
        <f t="shared" si="75"/>
        <v>147.89999999999998</v>
      </c>
      <c r="F120" s="25">
        <f t="shared" si="76"/>
        <v>120.08146639511202</v>
      </c>
      <c r="G120" s="7">
        <f aca="true" t="shared" si="87" ref="G120:L120">G122+G121</f>
        <v>280</v>
      </c>
      <c r="H120" s="7">
        <f t="shared" si="87"/>
        <v>163.3</v>
      </c>
      <c r="I120" s="7">
        <f t="shared" si="87"/>
        <v>148.5</v>
      </c>
      <c r="J120" s="7">
        <f t="shared" si="87"/>
        <v>62.7</v>
      </c>
      <c r="K120" s="7">
        <f t="shared" si="87"/>
        <v>62.2</v>
      </c>
      <c r="L120" s="7">
        <f t="shared" si="87"/>
        <v>884.4</v>
      </c>
      <c r="M120" s="7" t="e">
        <f>L120-#REF!</f>
        <v>#REF!</v>
      </c>
      <c r="N120" s="63">
        <f t="shared" si="78"/>
        <v>315.85714285714283</v>
      </c>
      <c r="O120" s="25">
        <f t="shared" si="79"/>
        <v>595.5555555555555</v>
      </c>
      <c r="P120" s="63">
        <f t="shared" si="80"/>
        <v>1421.8649517684887</v>
      </c>
      <c r="Q120" s="25">
        <f t="shared" si="81"/>
        <v>735.9</v>
      </c>
      <c r="R120" s="7">
        <f t="shared" si="82"/>
        <v>822.1999999999999</v>
      </c>
      <c r="S120" s="321">
        <f t="shared" si="69"/>
        <v>0</v>
      </c>
      <c r="T120" s="322">
        <f t="shared" si="70"/>
        <v>0</v>
      </c>
      <c r="U120" s="322">
        <f t="shared" si="71"/>
        <v>0</v>
      </c>
      <c r="V120" s="322">
        <f t="shared" si="72"/>
        <v>0</v>
      </c>
      <c r="W120" s="323">
        <f t="shared" si="73"/>
        <v>14.800000000000011</v>
      </c>
      <c r="X120" s="322">
        <f t="shared" si="74"/>
        <v>0.5</v>
      </c>
    </row>
    <row r="121" spans="1:24" s="415" customFormat="1" ht="31.5">
      <c r="A121" s="375" t="s">
        <v>249</v>
      </c>
      <c r="B121" s="344">
        <v>24061600</v>
      </c>
      <c r="C121" s="22">
        <v>250</v>
      </c>
      <c r="D121" s="22">
        <v>736.5</v>
      </c>
      <c r="E121" s="36">
        <f t="shared" si="75"/>
        <v>147.89999999999998</v>
      </c>
      <c r="F121" s="25">
        <f t="shared" si="76"/>
        <v>120.08146639511202</v>
      </c>
      <c r="G121" s="22">
        <v>250</v>
      </c>
      <c r="H121" s="22">
        <f>ROUND(G121*$T$6,1)</f>
        <v>145.8</v>
      </c>
      <c r="I121" s="7">
        <f>ROUND(G121*$T$7+G121*$T$8,1)</f>
        <v>132.6</v>
      </c>
      <c r="J121" s="22">
        <v>60</v>
      </c>
      <c r="K121" s="22">
        <v>60</v>
      </c>
      <c r="L121" s="22">
        <v>884.4</v>
      </c>
      <c r="M121" s="3" t="e">
        <f>L121-#REF!</f>
        <v>#REF!</v>
      </c>
      <c r="N121" s="65">
        <f t="shared" si="78"/>
        <v>353.76</v>
      </c>
      <c r="O121" s="36">
        <f t="shared" si="79"/>
        <v>666.9683257918552</v>
      </c>
      <c r="P121" s="65">
        <f t="shared" si="80"/>
        <v>1474</v>
      </c>
      <c r="Q121" s="36">
        <f t="shared" si="81"/>
        <v>751.8</v>
      </c>
      <c r="R121" s="22">
        <f t="shared" si="82"/>
        <v>824.4</v>
      </c>
      <c r="S121" s="321">
        <f t="shared" si="69"/>
        <v>0</v>
      </c>
      <c r="T121" s="322">
        <f t="shared" si="70"/>
        <v>0</v>
      </c>
      <c r="U121" s="322">
        <f t="shared" si="71"/>
        <v>0</v>
      </c>
      <c r="V121" s="322">
        <f t="shared" si="72"/>
        <v>0</v>
      </c>
      <c r="W121" s="323">
        <f t="shared" si="73"/>
        <v>13.200000000000017</v>
      </c>
      <c r="X121" s="322">
        <f t="shared" si="74"/>
        <v>0</v>
      </c>
    </row>
    <row r="122" spans="1:24" s="415" customFormat="1" ht="63">
      <c r="A122" s="343" t="s">
        <v>250</v>
      </c>
      <c r="B122" s="344">
        <v>24062100</v>
      </c>
      <c r="C122" s="22">
        <v>126.9</v>
      </c>
      <c r="D122" s="22">
        <v>0</v>
      </c>
      <c r="E122" s="25">
        <f t="shared" si="75"/>
        <v>0</v>
      </c>
      <c r="F122" s="25" t="e">
        <f t="shared" si="76"/>
        <v>#DIV/0!</v>
      </c>
      <c r="G122" s="22">
        <v>30</v>
      </c>
      <c r="H122" s="22">
        <f>ROUND(G122*$T$6,1)</f>
        <v>17.5</v>
      </c>
      <c r="I122" s="7">
        <f>ROUND(G122*$T$7+G122*$T$8,1)</f>
        <v>15.9</v>
      </c>
      <c r="J122" s="22">
        <v>2.7</v>
      </c>
      <c r="K122" s="22">
        <v>2.2</v>
      </c>
      <c r="L122" s="22">
        <v>0</v>
      </c>
      <c r="M122" s="3" t="e">
        <f>L122-#REF!</f>
        <v>#REF!</v>
      </c>
      <c r="N122" s="22">
        <f t="shared" si="78"/>
        <v>0</v>
      </c>
      <c r="O122" s="22">
        <f t="shared" si="79"/>
        <v>0</v>
      </c>
      <c r="P122" s="22">
        <f t="shared" si="80"/>
        <v>0</v>
      </c>
      <c r="Q122" s="22">
        <f t="shared" si="81"/>
        <v>-15.9</v>
      </c>
      <c r="R122" s="7">
        <f t="shared" si="82"/>
        <v>-2.2</v>
      </c>
      <c r="S122" s="321">
        <f t="shared" si="69"/>
        <v>0</v>
      </c>
      <c r="T122" s="322">
        <f t="shared" si="70"/>
        <v>0</v>
      </c>
      <c r="U122" s="322">
        <f t="shared" si="71"/>
        <v>0</v>
      </c>
      <c r="V122" s="322">
        <f t="shared" si="72"/>
        <v>0</v>
      </c>
      <c r="W122" s="323">
        <f t="shared" si="73"/>
        <v>1.5999999999999996</v>
      </c>
      <c r="X122" s="322">
        <f t="shared" si="74"/>
        <v>0.5</v>
      </c>
    </row>
    <row r="123" spans="1:24" s="416" customFormat="1" ht="31.5">
      <c r="A123" s="331" t="s">
        <v>251</v>
      </c>
      <c r="B123" s="332">
        <v>24110000</v>
      </c>
      <c r="C123" s="10">
        <f>C125+C124</f>
        <v>179.9</v>
      </c>
      <c r="D123" s="10">
        <f>D124+D125</f>
        <v>12794.8</v>
      </c>
      <c r="E123" s="6">
        <f t="shared" si="75"/>
        <v>11466.600000000002</v>
      </c>
      <c r="F123" s="6">
        <f t="shared" si="76"/>
        <v>189.61922030825025</v>
      </c>
      <c r="G123" s="10">
        <f>G125+G124</f>
        <v>19.9</v>
      </c>
      <c r="H123" s="10">
        <f>H125+H124</f>
        <v>11.6</v>
      </c>
      <c r="I123" s="10">
        <f>ROUND(I125+I124,1)</f>
        <v>10.6</v>
      </c>
      <c r="J123" s="10">
        <f>J125+J124</f>
        <v>6.3</v>
      </c>
      <c r="K123" s="10">
        <f>K125+K124</f>
        <v>4.2</v>
      </c>
      <c r="L123" s="10">
        <f>L125+L124</f>
        <v>24261.4</v>
      </c>
      <c r="M123" s="10" t="e">
        <f>L123-#REF!</f>
        <v>#REF!</v>
      </c>
      <c r="N123" s="62">
        <f t="shared" si="78"/>
        <v>121916.58291457288</v>
      </c>
      <c r="O123" s="6">
        <f t="shared" si="79"/>
        <v>228881.13207547172</v>
      </c>
      <c r="P123" s="62">
        <f t="shared" si="80"/>
        <v>577652.380952381</v>
      </c>
      <c r="Q123" s="6">
        <f t="shared" si="81"/>
        <v>24250.800000000003</v>
      </c>
      <c r="R123" s="10">
        <f t="shared" si="82"/>
        <v>24257.2</v>
      </c>
      <c r="S123" s="321">
        <f t="shared" si="69"/>
        <v>0</v>
      </c>
      <c r="T123" s="322">
        <f t="shared" si="70"/>
        <v>0</v>
      </c>
      <c r="U123" s="322">
        <f t="shared" si="71"/>
        <v>0</v>
      </c>
      <c r="V123" s="322">
        <f t="shared" si="72"/>
        <v>0</v>
      </c>
      <c r="W123" s="323">
        <f t="shared" si="73"/>
        <v>1</v>
      </c>
      <c r="X123" s="322">
        <f t="shared" si="74"/>
        <v>2.0999999999999996</v>
      </c>
    </row>
    <row r="124" spans="1:24" s="414" customFormat="1" ht="31.5">
      <c r="A124" s="376" t="s">
        <v>252</v>
      </c>
      <c r="B124" s="314">
        <v>24110600</v>
      </c>
      <c r="C124" s="7">
        <v>166.9</v>
      </c>
      <c r="D124" s="7">
        <v>250</v>
      </c>
      <c r="E124" s="25">
        <f t="shared" si="75"/>
        <v>15</v>
      </c>
      <c r="F124" s="25">
        <f t="shared" si="76"/>
        <v>106</v>
      </c>
      <c r="G124" s="7"/>
      <c r="H124" s="7">
        <f>ROUND(G124*$T$6,1)</f>
        <v>0</v>
      </c>
      <c r="I124" s="7">
        <f>ROUND(G124*$T$7+G124*$T$8,1)</f>
        <v>0</v>
      </c>
      <c r="J124" s="7">
        <v>0</v>
      </c>
      <c r="K124" s="7">
        <v>0</v>
      </c>
      <c r="L124" s="7">
        <v>265</v>
      </c>
      <c r="M124" s="3" t="e">
        <f>L124-#REF!</f>
        <v>#REF!</v>
      </c>
      <c r="N124" s="341" t="e">
        <f t="shared" si="78"/>
        <v>#DIV/0!</v>
      </c>
      <c r="O124" s="341" t="e">
        <f t="shared" si="79"/>
        <v>#DIV/0!</v>
      </c>
      <c r="P124" s="372" t="e">
        <f t="shared" si="80"/>
        <v>#DIV/0!</v>
      </c>
      <c r="Q124" s="25">
        <f t="shared" si="81"/>
        <v>265</v>
      </c>
      <c r="R124" s="7">
        <f t="shared" si="82"/>
        <v>265</v>
      </c>
      <c r="S124" s="321">
        <f t="shared" si="69"/>
        <v>0</v>
      </c>
      <c r="T124" s="322">
        <f t="shared" si="70"/>
        <v>0</v>
      </c>
      <c r="U124" s="322" t="e">
        <f t="shared" si="71"/>
        <v>#DIV/0!</v>
      </c>
      <c r="V124" s="322" t="e">
        <f t="shared" si="72"/>
        <v>#DIV/0!</v>
      </c>
      <c r="W124" s="323">
        <f t="shared" si="73"/>
        <v>0</v>
      </c>
      <c r="X124" s="322">
        <f t="shared" si="74"/>
        <v>0</v>
      </c>
    </row>
    <row r="125" spans="1:24" s="415" customFormat="1" ht="97.5" customHeight="1">
      <c r="A125" s="385" t="s">
        <v>253</v>
      </c>
      <c r="B125" s="426">
        <v>24110900</v>
      </c>
      <c r="C125" s="22">
        <v>13</v>
      </c>
      <c r="D125" s="22">
        <v>12544.8</v>
      </c>
      <c r="E125" s="25">
        <f t="shared" si="75"/>
        <v>11451.600000000002</v>
      </c>
      <c r="F125" s="25">
        <f t="shared" si="76"/>
        <v>191.28563229385884</v>
      </c>
      <c r="G125" s="22">
        <v>19.9</v>
      </c>
      <c r="H125" s="22">
        <f>ROUND(G125*$T$6,1)</f>
        <v>11.6</v>
      </c>
      <c r="I125" s="7">
        <f>ROUND(G125*$T$7+G125*$T$8,1)</f>
        <v>10.6</v>
      </c>
      <c r="J125" s="22">
        <v>6.3</v>
      </c>
      <c r="K125" s="22">
        <v>4.2</v>
      </c>
      <c r="L125" s="22">
        <v>23996.4</v>
      </c>
      <c r="M125" s="3" t="e">
        <f>L125-#REF!</f>
        <v>#REF!</v>
      </c>
      <c r="N125" s="65">
        <f t="shared" si="78"/>
        <v>120584.9246231156</v>
      </c>
      <c r="O125" s="25">
        <f t="shared" si="79"/>
        <v>226381.13207547172</v>
      </c>
      <c r="P125" s="65">
        <f t="shared" si="80"/>
        <v>571342.8571428572</v>
      </c>
      <c r="Q125" s="25">
        <f t="shared" si="81"/>
        <v>23985.800000000003</v>
      </c>
      <c r="R125" s="7">
        <f t="shared" si="82"/>
        <v>23992.2</v>
      </c>
      <c r="S125" s="321">
        <f t="shared" si="69"/>
        <v>0</v>
      </c>
      <c r="T125" s="322">
        <f t="shared" si="70"/>
        <v>0</v>
      </c>
      <c r="U125" s="322">
        <f t="shared" si="71"/>
        <v>0</v>
      </c>
      <c r="V125" s="322">
        <f t="shared" si="72"/>
        <v>0</v>
      </c>
      <c r="W125" s="323">
        <f t="shared" si="73"/>
        <v>1</v>
      </c>
      <c r="X125" s="322">
        <f t="shared" si="74"/>
        <v>2.0999999999999996</v>
      </c>
    </row>
    <row r="126" spans="1:24" s="416" customFormat="1" ht="31.5">
      <c r="A126" s="331" t="s">
        <v>254</v>
      </c>
      <c r="B126" s="332">
        <v>24170000</v>
      </c>
      <c r="C126" s="10">
        <v>6555.4</v>
      </c>
      <c r="D126" s="10">
        <v>4571.0574</v>
      </c>
      <c r="E126" s="6">
        <f t="shared" si="75"/>
        <v>635.4426000000003</v>
      </c>
      <c r="F126" s="6">
        <f t="shared" si="76"/>
        <v>113.9014355846855</v>
      </c>
      <c r="G126" s="10">
        <f>1300+264</f>
        <v>1564</v>
      </c>
      <c r="H126" s="10">
        <f>ROUND(G126*$T$6,1)</f>
        <v>912.3</v>
      </c>
      <c r="I126" s="10">
        <f>ROUND(G126*$T$7+G126*$T$8,1)</f>
        <v>829.4</v>
      </c>
      <c r="J126" s="10">
        <v>614</v>
      </c>
      <c r="K126" s="10">
        <v>518.5</v>
      </c>
      <c r="L126" s="10">
        <v>5206.5</v>
      </c>
      <c r="M126" s="9" t="e">
        <f>L126-#REF!</f>
        <v>#REF!</v>
      </c>
      <c r="N126" s="62">
        <f t="shared" si="78"/>
        <v>332.8964194373401</v>
      </c>
      <c r="O126" s="6">
        <f t="shared" si="79"/>
        <v>627.742946708464</v>
      </c>
      <c r="P126" s="62">
        <f t="shared" si="80"/>
        <v>1004.1465766634524</v>
      </c>
      <c r="Q126" s="6">
        <f t="shared" si="81"/>
        <v>4377.1</v>
      </c>
      <c r="R126" s="10">
        <f t="shared" si="82"/>
        <v>4688</v>
      </c>
      <c r="S126" s="321">
        <f t="shared" si="69"/>
        <v>0</v>
      </c>
      <c r="T126" s="322">
        <f t="shared" si="70"/>
        <v>0</v>
      </c>
      <c r="U126" s="322">
        <f t="shared" si="71"/>
        <v>0</v>
      </c>
      <c r="V126" s="322">
        <f t="shared" si="72"/>
        <v>0</v>
      </c>
      <c r="W126" s="323">
        <f t="shared" si="73"/>
        <v>82.89999999999998</v>
      </c>
      <c r="X126" s="322">
        <f t="shared" si="74"/>
        <v>95.5</v>
      </c>
    </row>
    <row r="127" spans="1:24" s="416" customFormat="1" ht="20.25">
      <c r="A127" s="386" t="s">
        <v>255</v>
      </c>
      <c r="B127" s="320">
        <v>25000000</v>
      </c>
      <c r="C127" s="10">
        <v>66717.7</v>
      </c>
      <c r="D127" s="10">
        <v>0</v>
      </c>
      <c r="E127" s="6">
        <f t="shared" si="75"/>
        <v>0</v>
      </c>
      <c r="F127" s="6" t="e">
        <f t="shared" si="76"/>
        <v>#DIV/0!</v>
      </c>
      <c r="G127" s="10">
        <v>70166.2</v>
      </c>
      <c r="H127" s="10">
        <f>ROUND(G127*$T$6,1)</f>
        <v>40930.3</v>
      </c>
      <c r="I127" s="10">
        <f>ROUND(G127*$T$7+G127*$T$8,1)</f>
        <v>37209.3</v>
      </c>
      <c r="J127" s="10">
        <f>H127</f>
        <v>40930.3</v>
      </c>
      <c r="K127" s="10">
        <f>I127</f>
        <v>37209.3</v>
      </c>
      <c r="L127" s="10">
        <v>0</v>
      </c>
      <c r="M127" s="9" t="e">
        <f>L127-#REF!</f>
        <v>#REF!</v>
      </c>
      <c r="N127" s="62">
        <f t="shared" si="78"/>
        <v>0</v>
      </c>
      <c r="O127" s="6">
        <f t="shared" si="79"/>
        <v>0</v>
      </c>
      <c r="P127" s="62">
        <f t="shared" si="80"/>
        <v>0</v>
      </c>
      <c r="Q127" s="6">
        <f t="shared" si="81"/>
        <v>-37209.3</v>
      </c>
      <c r="R127" s="10">
        <f t="shared" si="82"/>
        <v>-37209.3</v>
      </c>
      <c r="S127" s="321">
        <f t="shared" si="69"/>
        <v>0</v>
      </c>
      <c r="T127" s="322">
        <f t="shared" si="70"/>
        <v>0</v>
      </c>
      <c r="U127" s="322">
        <f t="shared" si="71"/>
        <v>0</v>
      </c>
      <c r="V127" s="322">
        <f t="shared" si="72"/>
        <v>0</v>
      </c>
      <c r="W127" s="323">
        <f t="shared" si="73"/>
        <v>3721</v>
      </c>
      <c r="X127" s="322">
        <f t="shared" si="74"/>
        <v>3721</v>
      </c>
    </row>
    <row r="128" spans="1:24" s="416" customFormat="1" ht="20.25">
      <c r="A128" s="386" t="s">
        <v>256</v>
      </c>
      <c r="B128" s="320">
        <v>30000000</v>
      </c>
      <c r="C128" s="10">
        <f>C129+C131</f>
        <v>5989.4</v>
      </c>
      <c r="D128" s="10">
        <f>D129+D131</f>
        <v>6568.4</v>
      </c>
      <c r="E128" s="6">
        <f t="shared" si="75"/>
        <v>-3094.6532099999995</v>
      </c>
      <c r="F128" s="6">
        <f t="shared" si="76"/>
        <v>52.88573762255648</v>
      </c>
      <c r="G128" s="10">
        <f aca="true" t="shared" si="88" ref="G128:L128">G129+G131</f>
        <v>3950</v>
      </c>
      <c r="H128" s="10">
        <f t="shared" si="88"/>
        <v>2304.2</v>
      </c>
      <c r="I128" s="10">
        <f t="shared" si="88"/>
        <v>2094.7000000000003</v>
      </c>
      <c r="J128" s="10">
        <f t="shared" si="88"/>
        <v>2460</v>
      </c>
      <c r="K128" s="10">
        <f>K129+K131</f>
        <v>2393.8</v>
      </c>
      <c r="L128" s="10">
        <f t="shared" si="88"/>
        <v>3473.74679</v>
      </c>
      <c r="M128" s="10" t="e">
        <f>L128-#REF!</f>
        <v>#REF!</v>
      </c>
      <c r="N128" s="10">
        <f t="shared" si="78"/>
        <v>87.94295670886076</v>
      </c>
      <c r="O128" s="6">
        <f t="shared" si="79"/>
        <v>165.8350498878121</v>
      </c>
      <c r="P128" s="10">
        <f t="shared" si="80"/>
        <v>145.11432826468376</v>
      </c>
      <c r="Q128" s="6">
        <f t="shared" si="81"/>
        <v>1379.0467899999999</v>
      </c>
      <c r="R128" s="10">
        <f t="shared" si="82"/>
        <v>1079.94679</v>
      </c>
      <c r="S128" s="321">
        <f t="shared" si="69"/>
        <v>0</v>
      </c>
      <c r="T128" s="322">
        <f t="shared" si="70"/>
        <v>0</v>
      </c>
      <c r="U128" s="322">
        <f t="shared" si="71"/>
        <v>0</v>
      </c>
      <c r="V128" s="322">
        <f t="shared" si="72"/>
        <v>0</v>
      </c>
      <c r="W128" s="323">
        <f t="shared" si="73"/>
        <v>209.49999999999955</v>
      </c>
      <c r="X128" s="322">
        <f t="shared" si="74"/>
        <v>66.19999999999982</v>
      </c>
    </row>
    <row r="129" spans="1:24" s="416" customFormat="1" ht="31.5">
      <c r="A129" s="326" t="s">
        <v>360</v>
      </c>
      <c r="B129" s="320">
        <v>31000000</v>
      </c>
      <c r="C129" s="10">
        <f>C130</f>
        <v>4888.3</v>
      </c>
      <c r="D129" s="10">
        <f>D130</f>
        <v>13</v>
      </c>
      <c r="E129" s="6">
        <f t="shared" si="75"/>
        <v>5.800000000000001</v>
      </c>
      <c r="F129" s="6">
        <f t="shared" si="76"/>
        <v>144.6153846153846</v>
      </c>
      <c r="G129" s="10">
        <f aca="true" t="shared" si="89" ref="G129:L129">G130</f>
        <v>3000</v>
      </c>
      <c r="H129" s="10">
        <f t="shared" si="89"/>
        <v>1750</v>
      </c>
      <c r="I129" s="10">
        <f t="shared" si="89"/>
        <v>1590.9</v>
      </c>
      <c r="J129" s="10">
        <f t="shared" si="89"/>
        <v>2460</v>
      </c>
      <c r="K129" s="10">
        <f t="shared" si="89"/>
        <v>2393.8</v>
      </c>
      <c r="L129" s="10">
        <f t="shared" si="89"/>
        <v>18.8</v>
      </c>
      <c r="M129" s="10" t="e">
        <f>L129-#REF!</f>
        <v>#REF!</v>
      </c>
      <c r="N129" s="62">
        <f t="shared" si="78"/>
        <v>0.6266666666666667</v>
      </c>
      <c r="O129" s="6">
        <f t="shared" si="79"/>
        <v>1.1817210384059338</v>
      </c>
      <c r="P129" s="62">
        <f t="shared" si="80"/>
        <v>0.7853621856462527</v>
      </c>
      <c r="Q129" s="6">
        <f t="shared" si="81"/>
        <v>-1572.1000000000001</v>
      </c>
      <c r="R129" s="10">
        <f t="shared" si="82"/>
        <v>-2375</v>
      </c>
      <c r="S129" s="321">
        <f t="shared" si="69"/>
        <v>0</v>
      </c>
      <c r="T129" s="322">
        <f t="shared" si="70"/>
        <v>0</v>
      </c>
      <c r="U129" s="322">
        <f t="shared" si="71"/>
        <v>0</v>
      </c>
      <c r="V129" s="322">
        <f t="shared" si="72"/>
        <v>0</v>
      </c>
      <c r="W129" s="323">
        <f t="shared" si="73"/>
        <v>159.0999999999999</v>
      </c>
      <c r="X129" s="322">
        <f t="shared" si="74"/>
        <v>66.19999999999982</v>
      </c>
    </row>
    <row r="130" spans="1:24" s="413" customFormat="1" ht="47.25">
      <c r="A130" s="387" t="s">
        <v>257</v>
      </c>
      <c r="B130" s="325">
        <v>31030000</v>
      </c>
      <c r="C130" s="7">
        <v>4888.3</v>
      </c>
      <c r="D130" s="7">
        <v>13</v>
      </c>
      <c r="E130" s="25">
        <f t="shared" si="75"/>
        <v>5.800000000000001</v>
      </c>
      <c r="F130" s="25">
        <f t="shared" si="76"/>
        <v>144.6153846153846</v>
      </c>
      <c r="G130" s="7">
        <f>1000+2000</f>
        <v>3000</v>
      </c>
      <c r="H130" s="7">
        <f>ROUND(G130*$T$6,1)</f>
        <v>1750</v>
      </c>
      <c r="I130" s="7">
        <f>ROUND(G130*$T$7+G130*$T$8,1)</f>
        <v>1590.9</v>
      </c>
      <c r="J130" s="7">
        <v>2460</v>
      </c>
      <c r="K130" s="7">
        <v>2393.8</v>
      </c>
      <c r="L130" s="7">
        <v>18.8</v>
      </c>
      <c r="M130" s="3" t="e">
        <f>L130-#REF!</f>
        <v>#REF!</v>
      </c>
      <c r="N130" s="63">
        <f t="shared" si="78"/>
        <v>0.6266666666666667</v>
      </c>
      <c r="O130" s="25">
        <f t="shared" si="79"/>
        <v>1.1817210384059338</v>
      </c>
      <c r="P130" s="63">
        <f t="shared" si="80"/>
        <v>0.7853621856462527</v>
      </c>
      <c r="Q130" s="25">
        <f t="shared" si="81"/>
        <v>-1572.1000000000001</v>
      </c>
      <c r="R130" s="7">
        <f t="shared" si="82"/>
        <v>-2375</v>
      </c>
      <c r="S130" s="321">
        <f t="shared" si="69"/>
        <v>0</v>
      </c>
      <c r="T130" s="322">
        <f t="shared" si="70"/>
        <v>0</v>
      </c>
      <c r="U130" s="322">
        <f t="shared" si="71"/>
        <v>0</v>
      </c>
      <c r="V130" s="322">
        <f t="shared" si="72"/>
        <v>0</v>
      </c>
      <c r="W130" s="323">
        <f t="shared" si="73"/>
        <v>159.0999999999999</v>
      </c>
      <c r="X130" s="322">
        <f t="shared" si="74"/>
        <v>66.19999999999982</v>
      </c>
    </row>
    <row r="131" spans="1:24" s="416" customFormat="1" ht="31.5">
      <c r="A131" s="326" t="s">
        <v>258</v>
      </c>
      <c r="B131" s="320">
        <v>33000000</v>
      </c>
      <c r="C131" s="10">
        <f>C132</f>
        <v>1101.1</v>
      </c>
      <c r="D131" s="10">
        <f>D132</f>
        <v>6555.4</v>
      </c>
      <c r="E131" s="6">
        <f t="shared" si="75"/>
        <v>-3100.4532099999997</v>
      </c>
      <c r="F131" s="6">
        <f t="shared" si="76"/>
        <v>52.703828751868684</v>
      </c>
      <c r="G131" s="10">
        <f aca="true" t="shared" si="90" ref="G131:L132">G132</f>
        <v>950</v>
      </c>
      <c r="H131" s="10">
        <f t="shared" si="90"/>
        <v>554.2</v>
      </c>
      <c r="I131" s="10">
        <f t="shared" si="90"/>
        <v>503.8</v>
      </c>
      <c r="J131" s="10">
        <f t="shared" si="90"/>
        <v>0</v>
      </c>
      <c r="K131" s="10">
        <f t="shared" si="90"/>
        <v>0</v>
      </c>
      <c r="L131" s="10">
        <f t="shared" si="90"/>
        <v>3454.94679</v>
      </c>
      <c r="M131" s="10" t="e">
        <f>L131-#REF!</f>
        <v>#REF!</v>
      </c>
      <c r="N131" s="62">
        <f t="shared" si="78"/>
        <v>363.6786094736842</v>
      </c>
      <c r="O131" s="6">
        <f t="shared" si="79"/>
        <v>685.7774493846764</v>
      </c>
      <c r="P131" s="373" t="e">
        <f t="shared" si="80"/>
        <v>#DIV/0!</v>
      </c>
      <c r="Q131" s="6">
        <f t="shared" si="81"/>
        <v>2951.14679</v>
      </c>
      <c r="R131" s="10">
        <f t="shared" si="82"/>
        <v>3454.94679</v>
      </c>
      <c r="S131" s="321">
        <f t="shared" si="69"/>
        <v>0</v>
      </c>
      <c r="T131" s="322">
        <f t="shared" si="70"/>
        <v>0</v>
      </c>
      <c r="U131" s="322">
        <f t="shared" si="71"/>
        <v>0</v>
      </c>
      <c r="V131" s="322">
        <f t="shared" si="72"/>
        <v>0</v>
      </c>
      <c r="W131" s="323">
        <f t="shared" si="73"/>
        <v>50.400000000000034</v>
      </c>
      <c r="X131" s="322">
        <f t="shared" si="74"/>
        <v>0</v>
      </c>
    </row>
    <row r="132" spans="1:24" s="414" customFormat="1" ht="20.25">
      <c r="A132" s="342" t="s">
        <v>259</v>
      </c>
      <c r="B132" s="325">
        <v>33010000</v>
      </c>
      <c r="C132" s="7">
        <f>C133</f>
        <v>1101.1</v>
      </c>
      <c r="D132" s="7">
        <f>D133</f>
        <v>6555.4</v>
      </c>
      <c r="E132" s="25">
        <f t="shared" si="75"/>
        <v>-3100.4532099999997</v>
      </c>
      <c r="F132" s="25">
        <f t="shared" si="76"/>
        <v>52.703828751868684</v>
      </c>
      <c r="G132" s="7">
        <f t="shared" si="90"/>
        <v>950</v>
      </c>
      <c r="H132" s="7">
        <f t="shared" si="90"/>
        <v>554.2</v>
      </c>
      <c r="I132" s="7">
        <f t="shared" si="90"/>
        <v>503.8</v>
      </c>
      <c r="J132" s="7">
        <f t="shared" si="90"/>
        <v>0</v>
      </c>
      <c r="K132" s="7">
        <f t="shared" si="90"/>
        <v>0</v>
      </c>
      <c r="L132" s="7">
        <f t="shared" si="90"/>
        <v>3454.94679</v>
      </c>
      <c r="M132" s="7" t="e">
        <f>L132-#REF!</f>
        <v>#REF!</v>
      </c>
      <c r="N132" s="63">
        <f t="shared" si="78"/>
        <v>363.6786094736842</v>
      </c>
      <c r="O132" s="25">
        <f t="shared" si="79"/>
        <v>685.7774493846764</v>
      </c>
      <c r="P132" s="372" t="e">
        <f t="shared" si="80"/>
        <v>#DIV/0!</v>
      </c>
      <c r="Q132" s="25">
        <f t="shared" si="81"/>
        <v>2951.14679</v>
      </c>
      <c r="R132" s="7">
        <f t="shared" si="82"/>
        <v>3454.94679</v>
      </c>
      <c r="S132" s="321">
        <f t="shared" si="69"/>
        <v>0</v>
      </c>
      <c r="T132" s="322">
        <f t="shared" si="70"/>
        <v>0</v>
      </c>
      <c r="U132" s="322">
        <f t="shared" si="71"/>
        <v>0</v>
      </c>
      <c r="V132" s="322">
        <f t="shared" si="72"/>
        <v>0</v>
      </c>
      <c r="W132" s="323">
        <f t="shared" si="73"/>
        <v>50.400000000000034</v>
      </c>
      <c r="X132" s="322">
        <f t="shared" si="74"/>
        <v>0</v>
      </c>
    </row>
    <row r="133" spans="1:24" s="415" customFormat="1" ht="94.5">
      <c r="A133" s="388" t="s">
        <v>108</v>
      </c>
      <c r="B133" s="344">
        <v>33010100</v>
      </c>
      <c r="C133" s="22">
        <v>1101.1</v>
      </c>
      <c r="D133" s="22">
        <v>6555.4</v>
      </c>
      <c r="E133" s="36">
        <f t="shared" si="75"/>
        <v>-3100.4532099999997</v>
      </c>
      <c r="F133" s="36">
        <f t="shared" si="76"/>
        <v>52.703828751868684</v>
      </c>
      <c r="G133" s="22">
        <v>950</v>
      </c>
      <c r="H133" s="22">
        <f>ROUND(G133*$T$6,1)</f>
        <v>554.2</v>
      </c>
      <c r="I133" s="22">
        <f>ROUND(G133*$T$7+G133*$T$8,1)</f>
        <v>503.8</v>
      </c>
      <c r="J133" s="22">
        <v>0</v>
      </c>
      <c r="K133" s="22">
        <v>0</v>
      </c>
      <c r="L133" s="22">
        <v>3454.94679</v>
      </c>
      <c r="M133" s="7" t="e">
        <f>L133-#REF!</f>
        <v>#REF!</v>
      </c>
      <c r="N133" s="65">
        <f t="shared" si="78"/>
        <v>363.6786094736842</v>
      </c>
      <c r="O133" s="36">
        <f t="shared" si="79"/>
        <v>685.7774493846764</v>
      </c>
      <c r="P133" s="372" t="e">
        <f t="shared" si="80"/>
        <v>#DIV/0!</v>
      </c>
      <c r="Q133" s="36">
        <f t="shared" si="81"/>
        <v>2951.14679</v>
      </c>
      <c r="R133" s="22">
        <f t="shared" si="82"/>
        <v>3454.94679</v>
      </c>
      <c r="S133" s="321">
        <f t="shared" si="69"/>
        <v>0</v>
      </c>
      <c r="T133" s="322">
        <f t="shared" si="70"/>
        <v>0</v>
      </c>
      <c r="U133" s="322">
        <f t="shared" si="71"/>
        <v>0</v>
      </c>
      <c r="V133" s="322">
        <f t="shared" si="72"/>
        <v>0</v>
      </c>
      <c r="W133" s="323">
        <f t="shared" si="73"/>
        <v>50.400000000000034</v>
      </c>
      <c r="X133" s="322">
        <f t="shared" si="74"/>
        <v>0</v>
      </c>
    </row>
    <row r="134" spans="1:24" s="416" customFormat="1" ht="19.5" customHeight="1">
      <c r="A134" s="328" t="s">
        <v>98</v>
      </c>
      <c r="B134" s="320">
        <v>40000000</v>
      </c>
      <c r="C134" s="10">
        <f>C135</f>
        <v>19354.4</v>
      </c>
      <c r="D134" s="10">
        <f>D135</f>
        <v>225.2</v>
      </c>
      <c r="E134" s="6">
        <f t="shared" si="75"/>
        <v>319.8</v>
      </c>
      <c r="F134" s="6">
        <f t="shared" si="76"/>
        <v>242.00710479573715</v>
      </c>
      <c r="G134" s="10">
        <f aca="true" t="shared" si="91" ref="G134:L135">G135</f>
        <v>49145</v>
      </c>
      <c r="H134" s="10">
        <f t="shared" si="91"/>
        <v>28667.9</v>
      </c>
      <c r="I134" s="10">
        <f t="shared" si="91"/>
        <v>26061.700000000004</v>
      </c>
      <c r="J134" s="10">
        <f t="shared" si="91"/>
        <v>26212.1</v>
      </c>
      <c r="K134" s="10">
        <f t="shared" si="91"/>
        <v>23330.3</v>
      </c>
      <c r="L134" s="10">
        <f t="shared" si="91"/>
        <v>545</v>
      </c>
      <c r="M134" s="10" t="e">
        <f>L134-#REF!</f>
        <v>#REF!</v>
      </c>
      <c r="N134" s="62">
        <f t="shared" si="78"/>
        <v>1.1089632719503508</v>
      </c>
      <c r="O134" s="6">
        <f t="shared" si="79"/>
        <v>2.091191288365686</v>
      </c>
      <c r="P134" s="62">
        <f t="shared" si="80"/>
        <v>2.3360179680501325</v>
      </c>
      <c r="Q134" s="6">
        <f t="shared" si="81"/>
        <v>-25516.700000000004</v>
      </c>
      <c r="R134" s="10">
        <f t="shared" si="82"/>
        <v>-22785.3</v>
      </c>
      <c r="S134" s="321">
        <f t="shared" si="69"/>
        <v>0</v>
      </c>
      <c r="T134" s="322">
        <f t="shared" si="70"/>
        <v>0</v>
      </c>
      <c r="U134" s="322">
        <f t="shared" si="71"/>
        <v>0</v>
      </c>
      <c r="V134" s="322">
        <f t="shared" si="72"/>
        <v>0</v>
      </c>
      <c r="W134" s="323">
        <f t="shared" si="73"/>
        <v>2606.199999999997</v>
      </c>
      <c r="X134" s="322">
        <f t="shared" si="74"/>
        <v>2881.7999999999993</v>
      </c>
    </row>
    <row r="135" spans="1:24" s="416" customFormat="1" ht="22.5" customHeight="1">
      <c r="A135" s="326" t="s">
        <v>99</v>
      </c>
      <c r="B135" s="320">
        <v>41000000</v>
      </c>
      <c r="C135" s="10">
        <f>C136</f>
        <v>19354.4</v>
      </c>
      <c r="D135" s="10">
        <f>D136</f>
        <v>225.2</v>
      </c>
      <c r="E135" s="6">
        <f t="shared" si="75"/>
        <v>319.8</v>
      </c>
      <c r="F135" s="6">
        <f t="shared" si="76"/>
        <v>242.00710479573715</v>
      </c>
      <c r="G135" s="10">
        <f>G136</f>
        <v>49145</v>
      </c>
      <c r="H135" s="10">
        <f t="shared" si="91"/>
        <v>28667.9</v>
      </c>
      <c r="I135" s="10">
        <f t="shared" si="91"/>
        <v>26061.700000000004</v>
      </c>
      <c r="J135" s="10">
        <f t="shared" si="91"/>
        <v>26212.1</v>
      </c>
      <c r="K135" s="10">
        <f t="shared" si="91"/>
        <v>23330.3</v>
      </c>
      <c r="L135" s="10">
        <f t="shared" si="91"/>
        <v>545</v>
      </c>
      <c r="M135" s="10" t="e">
        <f>L135-#REF!</f>
        <v>#REF!</v>
      </c>
      <c r="N135" s="62">
        <f t="shared" si="78"/>
        <v>1.1089632719503508</v>
      </c>
      <c r="O135" s="6">
        <f t="shared" si="79"/>
        <v>2.091191288365686</v>
      </c>
      <c r="P135" s="62">
        <f t="shared" si="80"/>
        <v>2.3360179680501325</v>
      </c>
      <c r="Q135" s="6">
        <f t="shared" si="81"/>
        <v>-25516.700000000004</v>
      </c>
      <c r="R135" s="10">
        <f t="shared" si="82"/>
        <v>-22785.3</v>
      </c>
      <c r="S135" s="321">
        <f t="shared" si="69"/>
        <v>0</v>
      </c>
      <c r="T135" s="322">
        <f t="shared" si="70"/>
        <v>0</v>
      </c>
      <c r="U135" s="322">
        <f t="shared" si="71"/>
        <v>0</v>
      </c>
      <c r="V135" s="322">
        <f t="shared" si="72"/>
        <v>0</v>
      </c>
      <c r="W135" s="323">
        <f t="shared" si="73"/>
        <v>2606.199999999997</v>
      </c>
      <c r="X135" s="322">
        <f t="shared" si="74"/>
        <v>2881.7999999999993</v>
      </c>
    </row>
    <row r="136" spans="1:24" s="416" customFormat="1" ht="31.5">
      <c r="A136" s="328" t="s">
        <v>335</v>
      </c>
      <c r="B136" s="320">
        <v>41050000</v>
      </c>
      <c r="C136" s="10">
        <f>C141+C139</f>
        <v>19354.4</v>
      </c>
      <c r="D136" s="10">
        <f>D141+D139+D137+D140</f>
        <v>225.2</v>
      </c>
      <c r="E136" s="6">
        <f t="shared" si="75"/>
        <v>319.8</v>
      </c>
      <c r="F136" s="6">
        <f t="shared" si="76"/>
        <v>242.00710479573715</v>
      </c>
      <c r="G136" s="10">
        <f aca="true" t="shared" si="92" ref="G136:L136">G141+G139+G137+G140</f>
        <v>49145</v>
      </c>
      <c r="H136" s="10">
        <f t="shared" si="92"/>
        <v>28667.9</v>
      </c>
      <c r="I136" s="10">
        <f t="shared" si="92"/>
        <v>26061.700000000004</v>
      </c>
      <c r="J136" s="10">
        <f t="shared" si="92"/>
        <v>26212.1</v>
      </c>
      <c r="K136" s="10">
        <f t="shared" si="92"/>
        <v>23330.3</v>
      </c>
      <c r="L136" s="10">
        <f t="shared" si="92"/>
        <v>545</v>
      </c>
      <c r="M136" s="10" t="e">
        <f>L136-#REF!</f>
        <v>#REF!</v>
      </c>
      <c r="N136" s="62">
        <f t="shared" si="78"/>
        <v>1.1089632719503508</v>
      </c>
      <c r="O136" s="6">
        <f t="shared" si="79"/>
        <v>2.091191288365686</v>
      </c>
      <c r="P136" s="62">
        <f t="shared" si="80"/>
        <v>2.3360179680501325</v>
      </c>
      <c r="Q136" s="6">
        <f t="shared" si="81"/>
        <v>-25516.700000000004</v>
      </c>
      <c r="R136" s="10">
        <f t="shared" si="82"/>
        <v>-22785.3</v>
      </c>
      <c r="S136" s="321">
        <f t="shared" si="69"/>
        <v>0</v>
      </c>
      <c r="T136" s="322">
        <f t="shared" si="70"/>
        <v>0</v>
      </c>
      <c r="U136" s="322">
        <f t="shared" si="71"/>
        <v>0</v>
      </c>
      <c r="V136" s="322">
        <f t="shared" si="72"/>
        <v>0</v>
      </c>
      <c r="W136" s="323">
        <f t="shared" si="73"/>
        <v>2606.199999999997</v>
      </c>
      <c r="X136" s="322">
        <f t="shared" si="74"/>
        <v>2881.7999999999993</v>
      </c>
    </row>
    <row r="137" spans="1:24" s="414" customFormat="1" ht="47.25">
      <c r="A137" s="342" t="s">
        <v>20</v>
      </c>
      <c r="B137" s="325">
        <v>41051100</v>
      </c>
      <c r="C137" s="7"/>
      <c r="D137" s="7">
        <f>D138</f>
        <v>0</v>
      </c>
      <c r="E137" s="25">
        <f t="shared" si="75"/>
        <v>0</v>
      </c>
      <c r="F137" s="256" t="e">
        <f>L137/D137*100</f>
        <v>#DIV/0!</v>
      </c>
      <c r="G137" s="7">
        <f aca="true" t="shared" si="93" ref="G137:L137">G138</f>
        <v>2700</v>
      </c>
      <c r="H137" s="7">
        <f t="shared" si="93"/>
        <v>1575</v>
      </c>
      <c r="I137" s="7">
        <f t="shared" si="93"/>
        <v>1431.8</v>
      </c>
      <c r="J137" s="7">
        <f t="shared" si="93"/>
        <v>2700</v>
      </c>
      <c r="K137" s="7">
        <f t="shared" si="93"/>
        <v>2700</v>
      </c>
      <c r="L137" s="7">
        <f t="shared" si="93"/>
        <v>0</v>
      </c>
      <c r="M137" s="7" t="e">
        <f>L137-#REF!</f>
        <v>#REF!</v>
      </c>
      <c r="N137" s="63">
        <f t="shared" si="78"/>
        <v>0</v>
      </c>
      <c r="O137" s="25">
        <f t="shared" si="79"/>
        <v>0</v>
      </c>
      <c r="P137" s="63">
        <f t="shared" si="80"/>
        <v>0</v>
      </c>
      <c r="Q137" s="25">
        <f t="shared" si="81"/>
        <v>-1431.8</v>
      </c>
      <c r="R137" s="7">
        <f t="shared" si="82"/>
        <v>-2700</v>
      </c>
      <c r="S137" s="347"/>
      <c r="T137" s="348"/>
      <c r="U137" s="348"/>
      <c r="V137" s="348"/>
      <c r="W137" s="390"/>
      <c r="X137" s="348"/>
    </row>
    <row r="138" spans="1:24" s="414" customFormat="1" ht="31.5">
      <c r="A138" s="342" t="s">
        <v>17</v>
      </c>
      <c r="B138" s="325"/>
      <c r="C138" s="7"/>
      <c r="D138" s="7"/>
      <c r="E138" s="25">
        <f t="shared" si="75"/>
        <v>0</v>
      </c>
      <c r="F138" s="256" t="e">
        <f>L138/D138*100</f>
        <v>#DIV/0!</v>
      </c>
      <c r="G138" s="7">
        <v>2700</v>
      </c>
      <c r="H138" s="7">
        <f>ROUND(G138*$T$6,1)</f>
        <v>1575</v>
      </c>
      <c r="I138" s="7">
        <f>ROUND(G138*$T$7+G138*$T$8,1)</f>
        <v>1431.8</v>
      </c>
      <c r="J138" s="7">
        <v>2700</v>
      </c>
      <c r="K138" s="7">
        <v>2700</v>
      </c>
      <c r="L138" s="7">
        <v>0</v>
      </c>
      <c r="M138" s="7" t="e">
        <f>L138-#REF!</f>
        <v>#REF!</v>
      </c>
      <c r="N138" s="63">
        <f t="shared" si="78"/>
        <v>0</v>
      </c>
      <c r="O138" s="25">
        <f t="shared" si="79"/>
        <v>0</v>
      </c>
      <c r="P138" s="63">
        <f t="shared" si="80"/>
        <v>0</v>
      </c>
      <c r="Q138" s="25">
        <f t="shared" si="81"/>
        <v>-1431.8</v>
      </c>
      <c r="R138" s="7">
        <f t="shared" si="82"/>
        <v>-2700</v>
      </c>
      <c r="S138" s="347"/>
      <c r="T138" s="348"/>
      <c r="U138" s="348"/>
      <c r="V138" s="348"/>
      <c r="W138" s="390"/>
      <c r="X138" s="348"/>
    </row>
    <row r="139" spans="1:24" s="416" customFormat="1" ht="63">
      <c r="A139" s="342" t="s">
        <v>357</v>
      </c>
      <c r="B139" s="325">
        <v>41052300</v>
      </c>
      <c r="C139" s="7">
        <v>19050</v>
      </c>
      <c r="D139" s="7"/>
      <c r="E139" s="25">
        <f t="shared" si="75"/>
        <v>0</v>
      </c>
      <c r="F139" s="14" t="e">
        <f>L139/D139*100</f>
        <v>#DIV/0!</v>
      </c>
      <c r="G139" s="7"/>
      <c r="H139" s="7">
        <f>ROUND(G139*$T$6,1)</f>
        <v>0</v>
      </c>
      <c r="I139" s="7">
        <f>ROUND(G139*$T$7+G139*$T$8,1)</f>
        <v>0</v>
      </c>
      <c r="J139" s="7"/>
      <c r="K139" s="7"/>
      <c r="L139" s="7"/>
      <c r="M139" s="3" t="e">
        <f>L139-#REF!</f>
        <v>#REF!</v>
      </c>
      <c r="N139" s="372" t="e">
        <f t="shared" si="78"/>
        <v>#DIV/0!</v>
      </c>
      <c r="O139" s="256" t="e">
        <f t="shared" si="79"/>
        <v>#DIV/0!</v>
      </c>
      <c r="P139" s="372" t="e">
        <f t="shared" si="80"/>
        <v>#DIV/0!</v>
      </c>
      <c r="Q139" s="256">
        <f t="shared" si="81"/>
        <v>0</v>
      </c>
      <c r="R139" s="341">
        <f t="shared" si="82"/>
        <v>0</v>
      </c>
      <c r="S139" s="321"/>
      <c r="T139" s="322"/>
      <c r="U139" s="322"/>
      <c r="V139" s="322"/>
      <c r="W139" s="323"/>
      <c r="X139" s="322"/>
    </row>
    <row r="140" spans="1:24" s="416" customFormat="1" ht="110.25">
      <c r="A140" s="342" t="s">
        <v>13</v>
      </c>
      <c r="B140" s="325">
        <v>41052600</v>
      </c>
      <c r="C140" s="7"/>
      <c r="D140" s="7"/>
      <c r="E140" s="25">
        <f t="shared" si="75"/>
        <v>0</v>
      </c>
      <c r="F140" s="14"/>
      <c r="G140" s="7">
        <v>45900</v>
      </c>
      <c r="H140" s="7">
        <f>ROUND(G140*$T$6,1)</f>
        <v>26775</v>
      </c>
      <c r="I140" s="7">
        <f>ROUND(G140*$T$7+G140*$T$8,1)-0.1</f>
        <v>24340.800000000003</v>
      </c>
      <c r="J140" s="7">
        <v>22967.1</v>
      </c>
      <c r="K140" s="7">
        <v>20085.3</v>
      </c>
      <c r="L140" s="7">
        <v>0</v>
      </c>
      <c r="M140" s="3" t="e">
        <f>L140-#REF!</f>
        <v>#REF!</v>
      </c>
      <c r="N140" s="63">
        <f t="shared" si="78"/>
        <v>0</v>
      </c>
      <c r="O140" s="25">
        <f t="shared" si="79"/>
        <v>0</v>
      </c>
      <c r="P140" s="63">
        <f t="shared" si="80"/>
        <v>0</v>
      </c>
      <c r="Q140" s="25">
        <f t="shared" si="81"/>
        <v>-24340.800000000003</v>
      </c>
      <c r="R140" s="7">
        <f t="shared" si="82"/>
        <v>-20085.3</v>
      </c>
      <c r="S140" s="321"/>
      <c r="T140" s="322"/>
      <c r="U140" s="322"/>
      <c r="V140" s="322"/>
      <c r="W140" s="323"/>
      <c r="X140" s="322"/>
    </row>
    <row r="141" spans="1:24" s="414" customFormat="1" ht="31.5">
      <c r="A141" s="342" t="s">
        <v>347</v>
      </c>
      <c r="B141" s="325">
        <v>41053900</v>
      </c>
      <c r="C141" s="7">
        <f>C142+C145</f>
        <v>304.4</v>
      </c>
      <c r="D141" s="7">
        <f>D142+D145</f>
        <v>225.2</v>
      </c>
      <c r="E141" s="7">
        <f>E142+E145</f>
        <v>319.8</v>
      </c>
      <c r="F141" s="25">
        <f aca="true" t="shared" si="94" ref="F141:F146">L141/D141*100</f>
        <v>242.00710479573715</v>
      </c>
      <c r="G141" s="7">
        <f aca="true" t="shared" si="95" ref="G141:L141">G142+G145</f>
        <v>545</v>
      </c>
      <c r="H141" s="7">
        <f t="shared" si="95"/>
        <v>317.90000000000003</v>
      </c>
      <c r="I141" s="7">
        <f t="shared" si="95"/>
        <v>289.1</v>
      </c>
      <c r="J141" s="7">
        <f t="shared" si="95"/>
        <v>545</v>
      </c>
      <c r="K141" s="7">
        <f t="shared" si="95"/>
        <v>545</v>
      </c>
      <c r="L141" s="7">
        <f t="shared" si="95"/>
        <v>545</v>
      </c>
      <c r="M141" s="7" t="e">
        <f>L141-#REF!</f>
        <v>#REF!</v>
      </c>
      <c r="N141" s="63">
        <f t="shared" si="78"/>
        <v>100</v>
      </c>
      <c r="O141" s="25">
        <f t="shared" si="79"/>
        <v>188.51608439986163</v>
      </c>
      <c r="P141" s="63">
        <f t="shared" si="80"/>
        <v>100</v>
      </c>
      <c r="Q141" s="25">
        <f t="shared" si="81"/>
        <v>255.89999999999998</v>
      </c>
      <c r="R141" s="7">
        <f t="shared" si="82"/>
        <v>0</v>
      </c>
      <c r="S141" s="321" t="e">
        <f>#REF!-#REF!-#REF!</f>
        <v>#REF!</v>
      </c>
      <c r="T141" s="322" t="e">
        <f>#REF!-#REF!-#REF!</f>
        <v>#REF!</v>
      </c>
      <c r="U141" s="322" t="e">
        <f>#REF!/#REF!*100-#REF!</f>
        <v>#REF!</v>
      </c>
      <c r="V141" s="322" t="e">
        <f>#REF!/#REF!*100-#REF!</f>
        <v>#REF!</v>
      </c>
      <c r="W141" s="323" t="e">
        <f>#REF!-#REF!</f>
        <v>#REF!</v>
      </c>
      <c r="X141" s="322" t="e">
        <f>#REF!-#REF!</f>
        <v>#REF!</v>
      </c>
    </row>
    <row r="142" spans="1:24" s="414" customFormat="1" ht="20.25">
      <c r="A142" s="342" t="s">
        <v>24</v>
      </c>
      <c r="B142" s="435"/>
      <c r="C142" s="7">
        <f>C143+C144</f>
        <v>304.4</v>
      </c>
      <c r="D142" s="7">
        <f>D143+D144</f>
        <v>225.2</v>
      </c>
      <c r="E142" s="25">
        <f>E143+E144</f>
        <v>69.80000000000001</v>
      </c>
      <c r="F142" s="25">
        <f t="shared" si="94"/>
        <v>130.99467140319717</v>
      </c>
      <c r="G142" s="7">
        <f aca="true" t="shared" si="96" ref="G142:L142">G143+G144</f>
        <v>295</v>
      </c>
      <c r="H142" s="7">
        <f t="shared" si="96"/>
        <v>172.10000000000002</v>
      </c>
      <c r="I142" s="7">
        <f t="shared" si="96"/>
        <v>156.5</v>
      </c>
      <c r="J142" s="7">
        <f t="shared" si="96"/>
        <v>295</v>
      </c>
      <c r="K142" s="7">
        <f t="shared" si="96"/>
        <v>295</v>
      </c>
      <c r="L142" s="7">
        <f t="shared" si="96"/>
        <v>295</v>
      </c>
      <c r="M142" s="7" t="e">
        <f>L142-#REF!</f>
        <v>#REF!</v>
      </c>
      <c r="N142" s="63">
        <f t="shared" si="78"/>
        <v>100</v>
      </c>
      <c r="O142" s="25">
        <f t="shared" si="79"/>
        <v>188.49840255591056</v>
      </c>
      <c r="P142" s="63">
        <f t="shared" si="80"/>
        <v>100</v>
      </c>
      <c r="Q142" s="25">
        <f t="shared" si="81"/>
        <v>138.5</v>
      </c>
      <c r="R142" s="7">
        <f t="shared" si="82"/>
        <v>0</v>
      </c>
      <c r="S142" s="321"/>
      <c r="T142" s="322"/>
      <c r="U142" s="322"/>
      <c r="V142" s="322"/>
      <c r="W142" s="323"/>
      <c r="X142" s="322"/>
    </row>
    <row r="143" spans="1:24" s="414" customFormat="1" ht="31.5">
      <c r="A143" s="389" t="s">
        <v>25</v>
      </c>
      <c r="B143" s="435"/>
      <c r="C143" s="7">
        <v>304.4</v>
      </c>
      <c r="D143" s="7">
        <v>225.2</v>
      </c>
      <c r="E143" s="25">
        <f t="shared" si="75"/>
        <v>-180.2</v>
      </c>
      <c r="F143" s="256">
        <f t="shared" si="94"/>
        <v>19.982238010657195</v>
      </c>
      <c r="G143" s="7">
        <v>45</v>
      </c>
      <c r="H143" s="7">
        <f>ROUND(G143*$T$6,1)</f>
        <v>26.3</v>
      </c>
      <c r="I143" s="7">
        <f>ROUND(G143*$T$7+G143*$T$8,1)</f>
        <v>23.9</v>
      </c>
      <c r="J143" s="7">
        <v>45</v>
      </c>
      <c r="K143" s="7">
        <v>45</v>
      </c>
      <c r="L143" s="7">
        <v>45</v>
      </c>
      <c r="M143" s="7" t="e">
        <f>L143-#REF!</f>
        <v>#REF!</v>
      </c>
      <c r="N143" s="63">
        <f>L143/G143*100</f>
        <v>100</v>
      </c>
      <c r="O143" s="25">
        <f>L143/I143*100</f>
        <v>188.2845188284519</v>
      </c>
      <c r="P143" s="63">
        <f>L143/K143*100</f>
        <v>100</v>
      </c>
      <c r="Q143" s="25">
        <f>L143-I143</f>
        <v>21.1</v>
      </c>
      <c r="R143" s="7">
        <f>L143-K143</f>
        <v>0</v>
      </c>
      <c r="S143" s="321"/>
      <c r="T143" s="322"/>
      <c r="U143" s="322"/>
      <c r="V143" s="322"/>
      <c r="W143" s="323"/>
      <c r="X143" s="322"/>
    </row>
    <row r="144" spans="1:24" s="414" customFormat="1" ht="31.5">
      <c r="A144" s="436" t="s">
        <v>26</v>
      </c>
      <c r="B144" s="435"/>
      <c r="C144" s="7"/>
      <c r="D144" s="7"/>
      <c r="E144" s="25">
        <f t="shared" si="75"/>
        <v>250</v>
      </c>
      <c r="F144" s="256" t="e">
        <f t="shared" si="94"/>
        <v>#DIV/0!</v>
      </c>
      <c r="G144" s="7">
        <v>250</v>
      </c>
      <c r="H144" s="7">
        <f>ROUND(G144*$T$6,1)</f>
        <v>145.8</v>
      </c>
      <c r="I144" s="7">
        <f>ROUND(G144*$T$7+G144*$T$8,1)</f>
        <v>132.6</v>
      </c>
      <c r="J144" s="7">
        <v>250</v>
      </c>
      <c r="K144" s="7">
        <v>250</v>
      </c>
      <c r="L144" s="7">
        <v>250</v>
      </c>
      <c r="M144" s="7" t="e">
        <f>L144-#REF!</f>
        <v>#REF!</v>
      </c>
      <c r="N144" s="63">
        <f t="shared" si="78"/>
        <v>100</v>
      </c>
      <c r="O144" s="25">
        <f t="shared" si="79"/>
        <v>188.5369532428356</v>
      </c>
      <c r="P144" s="63">
        <f t="shared" si="80"/>
        <v>100</v>
      </c>
      <c r="Q144" s="25">
        <f t="shared" si="81"/>
        <v>117.4</v>
      </c>
      <c r="R144" s="7">
        <f t="shared" si="82"/>
        <v>0</v>
      </c>
      <c r="S144" s="321"/>
      <c r="T144" s="322"/>
      <c r="U144" s="322"/>
      <c r="V144" s="322"/>
      <c r="W144" s="323"/>
      <c r="X144" s="322"/>
    </row>
    <row r="145" spans="1:24" s="414" customFormat="1" ht="31.5">
      <c r="A145" s="436" t="s">
        <v>12</v>
      </c>
      <c r="B145" s="435"/>
      <c r="C145" s="7"/>
      <c r="D145" s="7"/>
      <c r="E145" s="25">
        <f t="shared" si="75"/>
        <v>250</v>
      </c>
      <c r="F145" s="256" t="e">
        <f t="shared" si="94"/>
        <v>#DIV/0!</v>
      </c>
      <c r="G145" s="7">
        <f aca="true" t="shared" si="97" ref="G145:L145">G146</f>
        <v>250</v>
      </c>
      <c r="H145" s="7">
        <f t="shared" si="97"/>
        <v>145.8</v>
      </c>
      <c r="I145" s="7">
        <f t="shared" si="97"/>
        <v>132.6</v>
      </c>
      <c r="J145" s="7">
        <f t="shared" si="97"/>
        <v>250</v>
      </c>
      <c r="K145" s="7">
        <f t="shared" si="97"/>
        <v>250</v>
      </c>
      <c r="L145" s="7">
        <f t="shared" si="97"/>
        <v>250</v>
      </c>
      <c r="M145" s="7" t="e">
        <f>L145-#REF!</f>
        <v>#REF!</v>
      </c>
      <c r="N145" s="63">
        <f t="shared" si="78"/>
        <v>100</v>
      </c>
      <c r="O145" s="25">
        <f t="shared" si="79"/>
        <v>188.5369532428356</v>
      </c>
      <c r="P145" s="63">
        <f t="shared" si="80"/>
        <v>100</v>
      </c>
      <c r="Q145" s="25">
        <f t="shared" si="81"/>
        <v>117.4</v>
      </c>
      <c r="R145" s="7">
        <f t="shared" si="82"/>
        <v>0</v>
      </c>
      <c r="S145" s="321"/>
      <c r="T145" s="322"/>
      <c r="U145" s="322"/>
      <c r="V145" s="322"/>
      <c r="W145" s="323"/>
      <c r="X145" s="322"/>
    </row>
    <row r="146" spans="1:24" s="414" customFormat="1" ht="63">
      <c r="A146" s="436" t="s">
        <v>11</v>
      </c>
      <c r="B146" s="435"/>
      <c r="C146" s="7"/>
      <c r="D146" s="7"/>
      <c r="E146" s="25">
        <f t="shared" si="75"/>
        <v>250</v>
      </c>
      <c r="F146" s="256" t="e">
        <f t="shared" si="94"/>
        <v>#DIV/0!</v>
      </c>
      <c r="G146" s="7">
        <v>250</v>
      </c>
      <c r="H146" s="7">
        <f>ROUND(G146*$T$6,1)</f>
        <v>145.8</v>
      </c>
      <c r="I146" s="7">
        <f>ROUND(G146*$T$7+G146*$T$8,1)</f>
        <v>132.6</v>
      </c>
      <c r="J146" s="7">
        <v>250</v>
      </c>
      <c r="K146" s="7">
        <v>250</v>
      </c>
      <c r="L146" s="7">
        <v>250</v>
      </c>
      <c r="M146" s="7" t="e">
        <f>L146-#REF!</f>
        <v>#REF!</v>
      </c>
      <c r="N146" s="63">
        <f t="shared" si="78"/>
        <v>100</v>
      </c>
      <c r="O146" s="25">
        <f t="shared" si="79"/>
        <v>188.5369532428356</v>
      </c>
      <c r="P146" s="63">
        <f t="shared" si="80"/>
        <v>100</v>
      </c>
      <c r="Q146" s="25">
        <f t="shared" si="81"/>
        <v>117.4</v>
      </c>
      <c r="R146" s="7">
        <f t="shared" si="82"/>
        <v>0</v>
      </c>
      <c r="S146" s="321"/>
      <c r="T146" s="322"/>
      <c r="U146" s="322"/>
      <c r="V146" s="322"/>
      <c r="W146" s="323"/>
      <c r="X146" s="322"/>
    </row>
    <row r="147" spans="1:24" s="416" customFormat="1" ht="22.5" customHeight="1">
      <c r="A147" s="328" t="s">
        <v>260</v>
      </c>
      <c r="B147" s="320">
        <v>50000000</v>
      </c>
      <c r="C147" s="10">
        <f>SUM(C148:C148)</f>
        <v>999.2</v>
      </c>
      <c r="D147" s="10">
        <f>SUM(D148:D148)</f>
        <v>19050</v>
      </c>
      <c r="E147" s="6">
        <f t="shared" si="75"/>
        <v>-19050</v>
      </c>
      <c r="F147" s="6">
        <f t="shared" si="76"/>
        <v>0</v>
      </c>
      <c r="G147" s="10">
        <f aca="true" t="shared" si="98" ref="G147:L147">SUM(G148:G148)</f>
        <v>1284.9</v>
      </c>
      <c r="H147" s="10">
        <f t="shared" si="98"/>
        <v>749.5</v>
      </c>
      <c r="I147" s="10">
        <f t="shared" si="98"/>
        <v>681.3</v>
      </c>
      <c r="J147" s="10">
        <f t="shared" si="98"/>
        <v>905.6</v>
      </c>
      <c r="K147" s="10">
        <f t="shared" si="98"/>
        <v>804</v>
      </c>
      <c r="L147" s="10">
        <f t="shared" si="98"/>
        <v>0</v>
      </c>
      <c r="M147" s="10" t="e">
        <f>L147-#REF!</f>
        <v>#REF!</v>
      </c>
      <c r="N147" s="10">
        <f t="shared" si="78"/>
        <v>0</v>
      </c>
      <c r="O147" s="6">
        <f t="shared" si="79"/>
        <v>0</v>
      </c>
      <c r="P147" s="10">
        <f t="shared" si="80"/>
        <v>0</v>
      </c>
      <c r="Q147" s="6">
        <f t="shared" si="81"/>
        <v>-681.3</v>
      </c>
      <c r="R147" s="10">
        <f t="shared" si="82"/>
        <v>-804</v>
      </c>
      <c r="S147" s="321">
        <f>L147-I147-Q147</f>
        <v>0</v>
      </c>
      <c r="T147" s="322">
        <f>L147-K147-R147</f>
        <v>0</v>
      </c>
      <c r="U147" s="322">
        <f>L147/G147*100-N147</f>
        <v>0</v>
      </c>
      <c r="V147" s="322">
        <f>L147/I147*100-O147</f>
        <v>0</v>
      </c>
      <c r="W147" s="323">
        <f aca="true" t="shared" si="99" ref="W147:W153">H147-I147</f>
        <v>68.20000000000005</v>
      </c>
      <c r="X147" s="322">
        <f aca="true" t="shared" si="100" ref="X147:X153">J147-K147</f>
        <v>101.60000000000002</v>
      </c>
    </row>
    <row r="148" spans="1:24" s="413" customFormat="1" ht="63">
      <c r="A148" s="342" t="s">
        <v>308</v>
      </c>
      <c r="B148" s="325">
        <v>50110000</v>
      </c>
      <c r="C148" s="7">
        <v>999.2</v>
      </c>
      <c r="D148" s="7">
        <v>19050</v>
      </c>
      <c r="E148" s="25">
        <f t="shared" si="75"/>
        <v>-19050</v>
      </c>
      <c r="F148" s="25">
        <f t="shared" si="76"/>
        <v>0</v>
      </c>
      <c r="G148" s="7">
        <v>1284.9</v>
      </c>
      <c r="H148" s="7">
        <f>ROUND(G148*$T$6,1)</f>
        <v>749.5</v>
      </c>
      <c r="I148" s="7">
        <f>ROUND(G148*$T$7+G148*$T$8,1)-0.1</f>
        <v>681.3</v>
      </c>
      <c r="J148" s="7">
        <v>905.6</v>
      </c>
      <c r="K148" s="7">
        <v>804</v>
      </c>
      <c r="L148" s="7">
        <v>0</v>
      </c>
      <c r="M148" s="3" t="e">
        <f>L148-#REF!</f>
        <v>#REF!</v>
      </c>
      <c r="N148" s="63">
        <f t="shared" si="78"/>
        <v>0</v>
      </c>
      <c r="O148" s="25">
        <f t="shared" si="79"/>
        <v>0</v>
      </c>
      <c r="P148" s="63">
        <f t="shared" si="80"/>
        <v>0</v>
      </c>
      <c r="Q148" s="25">
        <f t="shared" si="81"/>
        <v>-681.3</v>
      </c>
      <c r="R148" s="7">
        <f t="shared" si="82"/>
        <v>-804</v>
      </c>
      <c r="S148" s="321">
        <f>L148-I148-Q148</f>
        <v>0</v>
      </c>
      <c r="T148" s="322">
        <f>L148-K148-R148</f>
        <v>0</v>
      </c>
      <c r="U148" s="322">
        <f>L148/G148*100-N148</f>
        <v>0</v>
      </c>
      <c r="V148" s="322">
        <f>L148/I148*100-O148</f>
        <v>0</v>
      </c>
      <c r="W148" s="323">
        <f t="shared" si="99"/>
        <v>68.20000000000005</v>
      </c>
      <c r="X148" s="322">
        <f t="shared" si="100"/>
        <v>101.60000000000002</v>
      </c>
    </row>
    <row r="149" spans="1:24" s="428" customFormat="1" ht="18.75" customHeight="1">
      <c r="A149" s="397" t="s">
        <v>283</v>
      </c>
      <c r="B149" s="427"/>
      <c r="C149" s="203">
        <f>C113+C118+C128+C134+C147</f>
        <v>103722.79999999997</v>
      </c>
      <c r="D149" s="209">
        <f>D113+D118+D128+D134+D147</f>
        <v>2812296.0574000003</v>
      </c>
      <c r="E149" s="209">
        <f>L149-D149</f>
        <v>428292.4893899993</v>
      </c>
      <c r="F149" s="209">
        <f>L149/D149*100</f>
        <v>115.22928172028803</v>
      </c>
      <c r="G149" s="209">
        <f aca="true" t="shared" si="101" ref="G149:M149">G113+G118+G128+G134+G147</f>
        <v>129909.99999999999</v>
      </c>
      <c r="H149" s="209">
        <f t="shared" si="101"/>
        <v>75780.79999999999</v>
      </c>
      <c r="I149" s="209">
        <f t="shared" si="101"/>
        <v>68891.6</v>
      </c>
      <c r="J149" s="209">
        <f t="shared" si="101"/>
        <v>73164.70000000001</v>
      </c>
      <c r="K149" s="209">
        <f t="shared" si="101"/>
        <v>66295.90000000001</v>
      </c>
      <c r="L149" s="209">
        <f t="shared" si="101"/>
        <v>3240588.5467899996</v>
      </c>
      <c r="M149" s="209" t="e">
        <f t="shared" si="101"/>
        <v>#REF!</v>
      </c>
      <c r="N149" s="209">
        <f>L149/G149*100</f>
        <v>2494.487373404665</v>
      </c>
      <c r="O149" s="203">
        <f t="shared" si="79"/>
        <v>4703.895027536012</v>
      </c>
      <c r="P149" s="209">
        <f t="shared" si="80"/>
        <v>4888.067809306457</v>
      </c>
      <c r="Q149" s="203">
        <f t="shared" si="81"/>
        <v>3171696.9467899995</v>
      </c>
      <c r="R149" s="209">
        <f t="shared" si="82"/>
        <v>3174292.6467899997</v>
      </c>
      <c r="S149" s="394"/>
      <c r="T149" s="395"/>
      <c r="U149" s="395"/>
      <c r="V149" s="395"/>
      <c r="W149" s="396">
        <f t="shared" si="99"/>
        <v>6889.1999999999825</v>
      </c>
      <c r="X149" s="395">
        <f t="shared" si="100"/>
        <v>6868.800000000003</v>
      </c>
    </row>
    <row r="150" spans="1:24" s="425" customFormat="1" ht="31.5">
      <c r="A150" s="402" t="s">
        <v>285</v>
      </c>
      <c r="B150" s="393"/>
      <c r="C150" s="203">
        <f>(C149-C134)</f>
        <v>84368.39999999997</v>
      </c>
      <c r="D150" s="209">
        <f>D149-D134</f>
        <v>2812070.8574</v>
      </c>
      <c r="E150" s="209">
        <f t="shared" si="75"/>
        <v>427972.6893899995</v>
      </c>
      <c r="F150" s="209">
        <f t="shared" si="76"/>
        <v>115.21912892997643</v>
      </c>
      <c r="G150" s="209">
        <f>G149-G134</f>
        <v>80764.99999999999</v>
      </c>
      <c r="H150" s="209">
        <f>H149-H134</f>
        <v>47112.89999999999</v>
      </c>
      <c r="I150" s="209">
        <f>I149-I134</f>
        <v>42829.9</v>
      </c>
      <c r="J150" s="209">
        <f>J149-J134</f>
        <v>46952.60000000001</v>
      </c>
      <c r="K150" s="209">
        <f>K149-K134</f>
        <v>42965.600000000006</v>
      </c>
      <c r="L150" s="209">
        <f>(L149-L134)</f>
        <v>3240043.5467899996</v>
      </c>
      <c r="M150" s="209" t="e">
        <f>(M149-M134)</f>
        <v>#REF!</v>
      </c>
      <c r="N150" s="210">
        <f t="shared" si="78"/>
        <v>4011.692622782146</v>
      </c>
      <c r="O150" s="203">
        <f t="shared" si="79"/>
        <v>7564.910370535536</v>
      </c>
      <c r="P150" s="210">
        <f t="shared" si="80"/>
        <v>7541.017806780306</v>
      </c>
      <c r="Q150" s="203">
        <f t="shared" si="81"/>
        <v>3197213.6467899997</v>
      </c>
      <c r="R150" s="209">
        <f t="shared" si="82"/>
        <v>3197077.9467899995</v>
      </c>
      <c r="S150" s="394">
        <f>L150-I150-Q150</f>
        <v>0</v>
      </c>
      <c r="T150" s="395">
        <f>L150-K150-R150</f>
        <v>0</v>
      </c>
      <c r="U150" s="395">
        <f>L150/G150*100-N150</f>
        <v>0</v>
      </c>
      <c r="V150" s="395">
        <f>L150/I150*100-O150</f>
        <v>0</v>
      </c>
      <c r="W150" s="396">
        <f t="shared" si="99"/>
        <v>4282.999999999985</v>
      </c>
      <c r="X150" s="395">
        <f t="shared" si="100"/>
        <v>3987.0000000000073</v>
      </c>
    </row>
    <row r="151" spans="1:24" s="425" customFormat="1" ht="24" customHeight="1">
      <c r="A151" s="403" t="s">
        <v>286</v>
      </c>
      <c r="B151" s="393"/>
      <c r="C151" s="203">
        <f>C128+C124+C126</f>
        <v>12711.699999999999</v>
      </c>
      <c r="D151" s="203">
        <f>D128+D124+D126</f>
        <v>11389.4574</v>
      </c>
      <c r="E151" s="203">
        <f>L151-D151</f>
        <v>-2444.2106099999983</v>
      </c>
      <c r="F151" s="209">
        <f t="shared" si="76"/>
        <v>78.5397098021544</v>
      </c>
      <c r="G151" s="209">
        <f aca="true" t="shared" si="102" ref="G151:M151">G128+G124+G126</f>
        <v>5514</v>
      </c>
      <c r="H151" s="209">
        <f t="shared" si="102"/>
        <v>3216.5</v>
      </c>
      <c r="I151" s="209">
        <f t="shared" si="102"/>
        <v>2924.1000000000004</v>
      </c>
      <c r="J151" s="209">
        <f t="shared" si="102"/>
        <v>3074</v>
      </c>
      <c r="K151" s="209">
        <f t="shared" si="102"/>
        <v>2912.3</v>
      </c>
      <c r="L151" s="209">
        <f t="shared" si="102"/>
        <v>8945.246790000001</v>
      </c>
      <c r="M151" s="209" t="e">
        <f t="shared" si="102"/>
        <v>#REF!</v>
      </c>
      <c r="N151" s="203">
        <f>L151/G151*100</f>
        <v>162.2279069640914</v>
      </c>
      <c r="O151" s="203">
        <f t="shared" si="79"/>
        <v>305.91453062480764</v>
      </c>
      <c r="P151" s="203">
        <f t="shared" si="80"/>
        <v>307.15402911787936</v>
      </c>
      <c r="Q151" s="203">
        <f t="shared" si="81"/>
        <v>6021.146790000001</v>
      </c>
      <c r="R151" s="203">
        <f t="shared" si="82"/>
        <v>6032.946790000001</v>
      </c>
      <c r="S151" s="394"/>
      <c r="T151" s="395"/>
      <c r="U151" s="395"/>
      <c r="V151" s="395"/>
      <c r="W151" s="396">
        <f t="shared" si="99"/>
        <v>292.39999999999964</v>
      </c>
      <c r="X151" s="395">
        <f t="shared" si="100"/>
        <v>161.69999999999982</v>
      </c>
    </row>
    <row r="152" spans="1:24" s="425" customFormat="1" ht="27" customHeight="1">
      <c r="A152" s="402" t="s">
        <v>261</v>
      </c>
      <c r="B152" s="427"/>
      <c r="C152" s="203">
        <f>C111+C149</f>
        <v>2872072.8</v>
      </c>
      <c r="D152" s="209">
        <f>D111+D149</f>
        <v>5566095.4574</v>
      </c>
      <c r="E152" s="209">
        <f t="shared" si="75"/>
        <v>882176.4948299993</v>
      </c>
      <c r="F152" s="209">
        <f t="shared" si="76"/>
        <v>115.84910825877348</v>
      </c>
      <c r="G152" s="209">
        <f aca="true" t="shared" si="103" ref="G152:M152">G111+G149</f>
        <v>3391436.3</v>
      </c>
      <c r="H152" s="209">
        <f t="shared" si="103"/>
        <v>1978337.8000000003</v>
      </c>
      <c r="I152" s="209">
        <f t="shared" si="103"/>
        <v>1798488.94</v>
      </c>
      <c r="J152" s="209">
        <f t="shared" si="103"/>
        <v>1969390.5999999999</v>
      </c>
      <c r="K152" s="209">
        <f t="shared" si="103"/>
        <v>1832719.8</v>
      </c>
      <c r="L152" s="209">
        <f t="shared" si="103"/>
        <v>6448271.952229999</v>
      </c>
      <c r="M152" s="209" t="e">
        <f t="shared" si="103"/>
        <v>#REF!</v>
      </c>
      <c r="N152" s="209">
        <f t="shared" si="78"/>
        <v>190.13395452039006</v>
      </c>
      <c r="O152" s="203">
        <f t="shared" si="79"/>
        <v>358.5383156278959</v>
      </c>
      <c r="P152" s="209">
        <f t="shared" si="80"/>
        <v>351.8416700812639</v>
      </c>
      <c r="Q152" s="203">
        <f t="shared" si="81"/>
        <v>4649783.0122299995</v>
      </c>
      <c r="R152" s="209">
        <f t="shared" si="82"/>
        <v>4615552.152229999</v>
      </c>
      <c r="S152" s="394">
        <f>L152-I152-Q152</f>
        <v>0</v>
      </c>
      <c r="T152" s="395">
        <f>L152-K152-R152</f>
        <v>0</v>
      </c>
      <c r="U152" s="395">
        <f>L152/G152*100-N152</f>
        <v>0</v>
      </c>
      <c r="V152" s="395">
        <f>L152/I152*100-O152</f>
        <v>0</v>
      </c>
      <c r="W152" s="396">
        <f t="shared" si="99"/>
        <v>179848.86000000034</v>
      </c>
      <c r="X152" s="395">
        <f t="shared" si="100"/>
        <v>136670.7999999998</v>
      </c>
    </row>
    <row r="153" spans="1:24" s="416" customFormat="1" ht="19.5" customHeight="1">
      <c r="A153" s="439"/>
      <c r="B153" s="429"/>
      <c r="C153" s="11"/>
      <c r="D153" s="11"/>
      <c r="E153" s="11"/>
      <c r="F153" s="101"/>
      <c r="G153" s="11"/>
      <c r="H153" s="11"/>
      <c r="I153" s="11"/>
      <c r="J153" s="102"/>
      <c r="K153" s="11"/>
      <c r="L153" s="11"/>
      <c r="M153" s="221"/>
      <c r="N153" s="11"/>
      <c r="O153" s="11"/>
      <c r="P153" s="11"/>
      <c r="Q153" s="11"/>
      <c r="R153" s="11"/>
      <c r="S153" s="321">
        <f>L153-I153-Q153</f>
        <v>0</v>
      </c>
      <c r="T153" s="322">
        <f>L153-K153-R153</f>
        <v>0</v>
      </c>
      <c r="U153" s="322" t="e">
        <f>L153/G153*100-N153</f>
        <v>#DIV/0!</v>
      </c>
      <c r="V153" s="322" t="e">
        <f>L153/I153*100-O153</f>
        <v>#DIV/0!</v>
      </c>
      <c r="W153" s="323">
        <f t="shared" si="99"/>
        <v>0</v>
      </c>
      <c r="X153" s="322">
        <f t="shared" si="100"/>
        <v>0</v>
      </c>
    </row>
    <row r="154" spans="1:18" ht="18.75">
      <c r="A154" s="809"/>
      <c r="B154" s="809"/>
      <c r="C154" s="809"/>
      <c r="D154" s="809"/>
      <c r="E154" s="809"/>
      <c r="F154" s="809"/>
      <c r="G154" s="809"/>
      <c r="H154" s="809"/>
      <c r="L154" s="453" t="e">
        <f>L152-#REF!-M152</f>
        <v>#REF!</v>
      </c>
      <c r="M154" s="450"/>
      <c r="N154" s="408"/>
      <c r="O154" s="408"/>
      <c r="P154" s="408"/>
      <c r="Q154" s="408"/>
      <c r="R154" s="408"/>
    </row>
    <row r="155" spans="1:18" ht="16.5">
      <c r="A155" s="809"/>
      <c r="B155" s="809"/>
      <c r="C155" s="809"/>
      <c r="D155" s="809"/>
      <c r="E155" s="809"/>
      <c r="F155" s="809"/>
      <c r="G155" s="809"/>
      <c r="H155" s="809"/>
      <c r="M155" s="450"/>
      <c r="N155" s="408"/>
      <c r="O155" s="408"/>
      <c r="P155" s="408"/>
      <c r="Q155" s="408"/>
      <c r="R155" s="408"/>
    </row>
    <row r="156" spans="1:18" ht="16.5">
      <c r="A156" s="809"/>
      <c r="B156" s="809"/>
      <c r="C156" s="809"/>
      <c r="D156" s="809"/>
      <c r="E156" s="809"/>
      <c r="F156" s="809"/>
      <c r="G156" s="809"/>
      <c r="H156" s="809"/>
      <c r="M156" s="450"/>
      <c r="N156" s="408"/>
      <c r="O156" s="408"/>
      <c r="P156" s="408"/>
      <c r="Q156" s="408"/>
      <c r="R156" s="408"/>
    </row>
    <row r="157" spans="1:18" ht="16.5">
      <c r="A157" s="809"/>
      <c r="B157" s="809"/>
      <c r="C157" s="809"/>
      <c r="D157" s="809"/>
      <c r="E157" s="809"/>
      <c r="F157" s="809"/>
      <c r="G157" s="809"/>
      <c r="H157" s="809"/>
      <c r="M157" s="450"/>
      <c r="N157" s="408"/>
      <c r="O157" s="408"/>
      <c r="P157" s="408"/>
      <c r="Q157" s="408"/>
      <c r="R157" s="408"/>
    </row>
    <row r="158" spans="1:18" ht="16.5">
      <c r="A158" s="809"/>
      <c r="B158" s="809"/>
      <c r="C158" s="809"/>
      <c r="D158" s="809"/>
      <c r="E158" s="809"/>
      <c r="F158" s="809"/>
      <c r="G158" s="809"/>
      <c r="H158" s="809"/>
      <c r="M158" s="450"/>
      <c r="N158" s="408"/>
      <c r="O158" s="408"/>
      <c r="P158" s="408"/>
      <c r="Q158" s="408"/>
      <c r="R158" s="408"/>
    </row>
    <row r="159" spans="1:18" ht="16.5">
      <c r="A159" s="809"/>
      <c r="B159" s="809"/>
      <c r="C159" s="809"/>
      <c r="D159" s="809"/>
      <c r="E159" s="809"/>
      <c r="F159" s="809"/>
      <c r="G159" s="809"/>
      <c r="H159" s="809"/>
      <c r="M159" s="450"/>
      <c r="N159" s="408"/>
      <c r="O159" s="408"/>
      <c r="P159" s="408"/>
      <c r="Q159" s="408"/>
      <c r="R159" s="408"/>
    </row>
    <row r="160" spans="1:18" ht="16.5">
      <c r="A160" s="809"/>
      <c r="B160" s="809"/>
      <c r="C160" s="809"/>
      <c r="D160" s="809"/>
      <c r="E160" s="809"/>
      <c r="F160" s="809"/>
      <c r="G160" s="809"/>
      <c r="H160" s="809"/>
      <c r="M160" s="450"/>
      <c r="N160" s="408"/>
      <c r="O160" s="408"/>
      <c r="P160" s="408"/>
      <c r="Q160" s="408"/>
      <c r="R160" s="408"/>
    </row>
    <row r="161" spans="1:18" ht="16.5">
      <c r="A161" s="809"/>
      <c r="B161" s="809"/>
      <c r="C161" s="809"/>
      <c r="D161" s="809"/>
      <c r="E161" s="809"/>
      <c r="F161" s="809"/>
      <c r="G161" s="809"/>
      <c r="H161" s="809"/>
      <c r="M161" s="450"/>
      <c r="N161" s="408"/>
      <c r="O161" s="408"/>
      <c r="P161" s="408"/>
      <c r="Q161" s="408"/>
      <c r="R161" s="408"/>
    </row>
    <row r="162" spans="1:18" ht="16.5">
      <c r="A162" s="809"/>
      <c r="B162" s="809"/>
      <c r="C162" s="809"/>
      <c r="D162" s="809"/>
      <c r="E162" s="809"/>
      <c r="F162" s="809"/>
      <c r="G162" s="809"/>
      <c r="H162" s="809"/>
      <c r="M162" s="450"/>
      <c r="N162" s="408"/>
      <c r="O162" s="408"/>
      <c r="P162" s="408"/>
      <c r="Q162" s="408"/>
      <c r="R162" s="408"/>
    </row>
    <row r="163" spans="1:18" ht="16.5">
      <c r="A163" s="809"/>
      <c r="B163" s="809"/>
      <c r="C163" s="809"/>
      <c r="D163" s="809"/>
      <c r="E163" s="809"/>
      <c r="F163" s="809"/>
      <c r="G163" s="809"/>
      <c r="H163" s="809"/>
      <c r="M163" s="450"/>
      <c r="N163" s="408"/>
      <c r="O163" s="408"/>
      <c r="P163" s="408"/>
      <c r="Q163" s="408"/>
      <c r="R163" s="408"/>
    </row>
    <row r="164" spans="1:18" ht="16.5">
      <c r="A164" s="809"/>
      <c r="B164" s="809"/>
      <c r="C164" s="809"/>
      <c r="D164" s="809"/>
      <c r="E164" s="809"/>
      <c r="F164" s="809"/>
      <c r="G164" s="809"/>
      <c r="H164" s="809"/>
      <c r="M164" s="450"/>
      <c r="N164" s="408"/>
      <c r="O164" s="408"/>
      <c r="P164" s="408"/>
      <c r="Q164" s="408"/>
      <c r="R164" s="408"/>
    </row>
    <row r="165" spans="1:18" ht="16.5">
      <c r="A165" s="809"/>
      <c r="B165" s="809"/>
      <c r="C165" s="809"/>
      <c r="D165" s="809"/>
      <c r="E165" s="809"/>
      <c r="F165" s="809"/>
      <c r="G165" s="809"/>
      <c r="H165" s="809"/>
      <c r="M165" s="450"/>
      <c r="N165" s="408"/>
      <c r="O165" s="408"/>
      <c r="P165" s="408"/>
      <c r="Q165" s="408"/>
      <c r="R165" s="408"/>
    </row>
    <row r="166" spans="1:18" ht="16.5">
      <c r="A166" s="809"/>
      <c r="B166" s="809"/>
      <c r="C166" s="809"/>
      <c r="D166" s="809"/>
      <c r="E166" s="809"/>
      <c r="F166" s="809"/>
      <c r="G166" s="809"/>
      <c r="H166" s="809"/>
      <c r="M166" s="450"/>
      <c r="N166" s="408"/>
      <c r="O166" s="408"/>
      <c r="P166" s="408"/>
      <c r="Q166" s="408"/>
      <c r="R166" s="408"/>
    </row>
    <row r="167" spans="1:18" ht="16.5">
      <c r="A167" s="809"/>
      <c r="B167" s="809"/>
      <c r="C167" s="809"/>
      <c r="D167" s="809"/>
      <c r="E167" s="809"/>
      <c r="F167" s="809"/>
      <c r="G167" s="809"/>
      <c r="H167" s="809"/>
      <c r="M167" s="450"/>
      <c r="N167" s="408"/>
      <c r="O167" s="408"/>
      <c r="P167" s="408"/>
      <c r="Q167" s="408"/>
      <c r="R167" s="408"/>
    </row>
    <row r="168" spans="1:18" ht="16.5">
      <c r="A168" s="809"/>
      <c r="B168" s="809"/>
      <c r="C168" s="809"/>
      <c r="D168" s="809"/>
      <c r="E168" s="809"/>
      <c r="F168" s="809"/>
      <c r="G168" s="809"/>
      <c r="H168" s="809"/>
      <c r="M168" s="450"/>
      <c r="N168" s="408"/>
      <c r="O168" s="408"/>
      <c r="P168" s="408"/>
      <c r="Q168" s="408"/>
      <c r="R168" s="408"/>
    </row>
    <row r="169" spans="1:18" ht="16.5">
      <c r="A169" s="809"/>
      <c r="B169" s="809"/>
      <c r="C169" s="809"/>
      <c r="D169" s="809"/>
      <c r="E169" s="809"/>
      <c r="F169" s="809"/>
      <c r="G169" s="809"/>
      <c r="H169" s="809"/>
      <c r="M169" s="450"/>
      <c r="N169" s="408"/>
      <c r="O169" s="408"/>
      <c r="P169" s="408"/>
      <c r="Q169" s="408"/>
      <c r="R169" s="408"/>
    </row>
    <row r="170" spans="1:18" ht="16.5">
      <c r="A170" s="809"/>
      <c r="B170" s="809"/>
      <c r="C170" s="809"/>
      <c r="D170" s="809"/>
      <c r="E170" s="809"/>
      <c r="F170" s="809"/>
      <c r="G170" s="809"/>
      <c r="H170" s="809"/>
      <c r="M170" s="450"/>
      <c r="N170" s="408"/>
      <c r="O170" s="408"/>
      <c r="P170" s="408"/>
      <c r="Q170" s="408"/>
      <c r="R170" s="408"/>
    </row>
    <row r="171" spans="1:18" ht="16.5">
      <c r="A171" s="809"/>
      <c r="B171" s="809"/>
      <c r="C171" s="809"/>
      <c r="D171" s="809"/>
      <c r="E171" s="809"/>
      <c r="F171" s="809"/>
      <c r="G171" s="809"/>
      <c r="H171" s="809"/>
      <c r="M171" s="450"/>
      <c r="N171" s="408"/>
      <c r="O171" s="408"/>
      <c r="P171" s="408"/>
      <c r="Q171" s="408"/>
      <c r="R171" s="408"/>
    </row>
    <row r="172" spans="1:18" ht="16.5">
      <c r="A172" s="809"/>
      <c r="B172" s="809"/>
      <c r="C172" s="809"/>
      <c r="D172" s="809"/>
      <c r="E172" s="809"/>
      <c r="F172" s="809"/>
      <c r="G172" s="809"/>
      <c r="H172" s="809"/>
      <c r="M172" s="450"/>
      <c r="N172" s="408"/>
      <c r="O172" s="408"/>
      <c r="P172" s="408"/>
      <c r="Q172" s="408"/>
      <c r="R172" s="408"/>
    </row>
    <row r="173" spans="1:18" ht="16.5">
      <c r="A173" s="809"/>
      <c r="B173" s="809"/>
      <c r="C173" s="809"/>
      <c r="D173" s="809"/>
      <c r="E173" s="809"/>
      <c r="F173" s="809"/>
      <c r="G173" s="809"/>
      <c r="H173" s="809"/>
      <c r="M173" s="450"/>
      <c r="N173" s="408"/>
      <c r="O173" s="408"/>
      <c r="P173" s="408"/>
      <c r="Q173" s="408"/>
      <c r="R173" s="408"/>
    </row>
    <row r="174" spans="1:18" ht="16.5">
      <c r="A174" s="809"/>
      <c r="B174" s="809"/>
      <c r="C174" s="809"/>
      <c r="D174" s="809"/>
      <c r="E174" s="809"/>
      <c r="F174" s="809"/>
      <c r="G174" s="809"/>
      <c r="H174" s="809"/>
      <c r="M174" s="450"/>
      <c r="N174" s="408"/>
      <c r="O174" s="408"/>
      <c r="P174" s="408"/>
      <c r="Q174" s="408"/>
      <c r="R174" s="408"/>
    </row>
    <row r="175" spans="1:18" ht="16.5">
      <c r="A175" s="809"/>
      <c r="B175" s="809"/>
      <c r="C175" s="809"/>
      <c r="D175" s="809"/>
      <c r="E175" s="809"/>
      <c r="F175" s="809"/>
      <c r="G175" s="809"/>
      <c r="H175" s="809"/>
      <c r="M175" s="450"/>
      <c r="N175" s="408"/>
      <c r="O175" s="408"/>
      <c r="P175" s="408"/>
      <c r="Q175" s="408"/>
      <c r="R175" s="408"/>
    </row>
    <row r="176" spans="1:18" ht="16.5">
      <c r="A176" s="809"/>
      <c r="B176" s="809"/>
      <c r="C176" s="809"/>
      <c r="D176" s="809"/>
      <c r="E176" s="809"/>
      <c r="F176" s="809"/>
      <c r="G176" s="809"/>
      <c r="H176" s="809"/>
      <c r="M176" s="450"/>
      <c r="N176" s="408"/>
      <c r="O176" s="408"/>
      <c r="P176" s="408"/>
      <c r="Q176" s="408"/>
      <c r="R176" s="408"/>
    </row>
    <row r="177" spans="1:18" ht="16.5">
      <c r="A177" s="809"/>
      <c r="B177" s="809"/>
      <c r="C177" s="809"/>
      <c r="D177" s="809"/>
      <c r="E177" s="809"/>
      <c r="F177" s="809"/>
      <c r="G177" s="809"/>
      <c r="H177" s="809"/>
      <c r="M177" s="450"/>
      <c r="N177" s="408"/>
      <c r="O177" s="408"/>
      <c r="P177" s="408"/>
      <c r="Q177" s="408"/>
      <c r="R177" s="408"/>
    </row>
    <row r="178" spans="1:18" ht="16.5">
      <c r="A178" s="809"/>
      <c r="B178" s="809"/>
      <c r="C178" s="809"/>
      <c r="D178" s="809"/>
      <c r="E178" s="809"/>
      <c r="F178" s="809"/>
      <c r="G178" s="809"/>
      <c r="H178" s="809"/>
      <c r="M178" s="450"/>
      <c r="N178" s="408"/>
      <c r="O178" s="408"/>
      <c r="P178" s="408"/>
      <c r="Q178" s="408"/>
      <c r="R178" s="408"/>
    </row>
    <row r="179" spans="1:18" ht="16.5">
      <c r="A179" s="809"/>
      <c r="B179" s="809"/>
      <c r="C179" s="809"/>
      <c r="D179" s="809"/>
      <c r="E179" s="809"/>
      <c r="F179" s="809"/>
      <c r="G179" s="809"/>
      <c r="H179" s="809"/>
      <c r="M179" s="450"/>
      <c r="N179" s="408"/>
      <c r="O179" s="408"/>
      <c r="P179" s="408"/>
      <c r="Q179" s="408"/>
      <c r="R179" s="408"/>
    </row>
    <row r="180" spans="13:18" ht="18.75">
      <c r="M180" s="450"/>
      <c r="N180" s="408"/>
      <c r="O180" s="408"/>
      <c r="P180" s="408"/>
      <c r="Q180" s="408"/>
      <c r="R180" s="408"/>
    </row>
    <row r="181" spans="13:18" ht="18.75">
      <c r="M181" s="450"/>
      <c r="N181" s="408"/>
      <c r="O181" s="408"/>
      <c r="P181" s="408"/>
      <c r="Q181" s="408"/>
      <c r="R181" s="408"/>
    </row>
    <row r="182" spans="13:18" ht="18.75">
      <c r="M182" s="450"/>
      <c r="N182" s="408"/>
      <c r="O182" s="408"/>
      <c r="P182" s="408"/>
      <c r="Q182" s="408"/>
      <c r="R182" s="408"/>
    </row>
    <row r="183" spans="13:18" ht="18.75">
      <c r="M183" s="450"/>
      <c r="N183" s="408"/>
      <c r="O183" s="408"/>
      <c r="P183" s="408"/>
      <c r="Q183" s="408"/>
      <c r="R183" s="408"/>
    </row>
    <row r="184" spans="13:18" ht="18.75">
      <c r="M184" s="450"/>
      <c r="N184" s="408"/>
      <c r="O184" s="408"/>
      <c r="P184" s="408"/>
      <c r="Q184" s="408"/>
      <c r="R184" s="408"/>
    </row>
    <row r="185" spans="13:18" ht="18.75">
      <c r="M185" s="450"/>
      <c r="N185" s="408"/>
      <c r="O185" s="408"/>
      <c r="P185" s="408"/>
      <c r="Q185" s="408"/>
      <c r="R185" s="408"/>
    </row>
    <row r="186" spans="13:18" ht="18.75">
      <c r="M186" s="450"/>
      <c r="N186" s="408"/>
      <c r="O186" s="408"/>
      <c r="P186" s="408"/>
      <c r="Q186" s="408"/>
      <c r="R186" s="408"/>
    </row>
    <row r="187" spans="13:18" ht="18.75">
      <c r="M187" s="450"/>
      <c r="N187" s="408"/>
      <c r="O187" s="408"/>
      <c r="P187" s="408"/>
      <c r="Q187" s="408"/>
      <c r="R187" s="408"/>
    </row>
    <row r="188" spans="13:18" ht="18.75">
      <c r="M188" s="450"/>
      <c r="N188" s="408"/>
      <c r="O188" s="408"/>
      <c r="P188" s="408"/>
      <c r="Q188" s="408"/>
      <c r="R188" s="408"/>
    </row>
    <row r="189" spans="13:18" ht="18.75">
      <c r="M189" s="450"/>
      <c r="N189" s="408"/>
      <c r="O189" s="408"/>
      <c r="P189" s="408"/>
      <c r="Q189" s="408"/>
      <c r="R189" s="408"/>
    </row>
    <row r="190" spans="13:18" ht="18.75">
      <c r="M190" s="450"/>
      <c r="N190" s="408"/>
      <c r="O190" s="408"/>
      <c r="P190" s="408"/>
      <c r="Q190" s="408"/>
      <c r="R190" s="408"/>
    </row>
    <row r="191" spans="13:18" ht="18.75">
      <c r="M191" s="450"/>
      <c r="N191" s="408"/>
      <c r="O191" s="408"/>
      <c r="P191" s="408"/>
      <c r="Q191" s="408"/>
      <c r="R191" s="408"/>
    </row>
    <row r="192" spans="13:18" ht="18.75">
      <c r="M192" s="450"/>
      <c r="N192" s="408"/>
      <c r="O192" s="408"/>
      <c r="P192" s="408"/>
      <c r="Q192" s="408"/>
      <c r="R192" s="408"/>
    </row>
    <row r="193" spans="13:18" ht="18.75">
      <c r="M193" s="450"/>
      <c r="N193" s="408"/>
      <c r="O193" s="408"/>
      <c r="P193" s="408"/>
      <c r="Q193" s="408"/>
      <c r="R193" s="408"/>
    </row>
    <row r="194" spans="13:18" ht="18.75">
      <c r="M194" s="450"/>
      <c r="N194" s="408"/>
      <c r="O194" s="408"/>
      <c r="P194" s="408"/>
      <c r="Q194" s="408"/>
      <c r="R194" s="408"/>
    </row>
    <row r="195" spans="13:18" ht="18.75">
      <c r="M195" s="450"/>
      <c r="N195" s="408"/>
      <c r="O195" s="408"/>
      <c r="P195" s="408"/>
      <c r="Q195" s="408"/>
      <c r="R195" s="408"/>
    </row>
    <row r="196" spans="13:18" ht="18.75">
      <c r="M196" s="450"/>
      <c r="N196" s="408"/>
      <c r="O196" s="408"/>
      <c r="P196" s="408"/>
      <c r="Q196" s="408"/>
      <c r="R196" s="408"/>
    </row>
    <row r="197" spans="13:18" ht="18.75">
      <c r="M197" s="450"/>
      <c r="N197" s="408"/>
      <c r="O197" s="408"/>
      <c r="P197" s="408"/>
      <c r="Q197" s="408"/>
      <c r="R197" s="408"/>
    </row>
    <row r="198" spans="13:18" ht="18.75">
      <c r="M198" s="450"/>
      <c r="N198" s="408"/>
      <c r="O198" s="408"/>
      <c r="P198" s="408"/>
      <c r="Q198" s="408"/>
      <c r="R198" s="408"/>
    </row>
    <row r="199" spans="13:18" ht="18.75">
      <c r="M199" s="450"/>
      <c r="N199" s="408"/>
      <c r="O199" s="408"/>
      <c r="P199" s="408"/>
      <c r="Q199" s="408"/>
      <c r="R199" s="408"/>
    </row>
    <row r="200" spans="13:18" ht="18.75">
      <c r="M200" s="450"/>
      <c r="N200" s="408"/>
      <c r="O200" s="408"/>
      <c r="P200" s="408"/>
      <c r="Q200" s="408"/>
      <c r="R200" s="408"/>
    </row>
    <row r="201" spans="13:18" ht="18.75">
      <c r="M201" s="450"/>
      <c r="N201" s="408"/>
      <c r="O201" s="408"/>
      <c r="P201" s="408"/>
      <c r="Q201" s="408"/>
      <c r="R201" s="408"/>
    </row>
    <row r="202" spans="13:18" ht="18.75">
      <c r="M202" s="450"/>
      <c r="N202" s="408"/>
      <c r="O202" s="408"/>
      <c r="P202" s="408"/>
      <c r="Q202" s="408"/>
      <c r="R202" s="408"/>
    </row>
    <row r="203" spans="13:18" ht="18.75">
      <c r="M203" s="450"/>
      <c r="N203" s="408"/>
      <c r="O203" s="408"/>
      <c r="P203" s="408"/>
      <c r="Q203" s="408"/>
      <c r="R203" s="408"/>
    </row>
    <row r="204" spans="13:18" ht="18.75">
      <c r="M204" s="450"/>
      <c r="N204" s="408"/>
      <c r="O204" s="408"/>
      <c r="P204" s="408"/>
      <c r="Q204" s="408"/>
      <c r="R204" s="408"/>
    </row>
    <row r="205" spans="13:18" ht="18.75">
      <c r="M205" s="450"/>
      <c r="N205" s="408"/>
      <c r="O205" s="408"/>
      <c r="P205" s="408"/>
      <c r="Q205" s="408"/>
      <c r="R205" s="408"/>
    </row>
    <row r="206" spans="13:18" ht="18.75">
      <c r="M206" s="450"/>
      <c r="N206" s="408"/>
      <c r="O206" s="408"/>
      <c r="P206" s="408"/>
      <c r="Q206" s="408"/>
      <c r="R206" s="408"/>
    </row>
    <row r="207" spans="13:18" ht="18.75">
      <c r="M207" s="450"/>
      <c r="N207" s="408"/>
      <c r="O207" s="408"/>
      <c r="P207" s="408"/>
      <c r="Q207" s="408"/>
      <c r="R207" s="408"/>
    </row>
    <row r="208" spans="13:18" ht="18.75">
      <c r="M208" s="450"/>
      <c r="N208" s="408"/>
      <c r="O208" s="408"/>
      <c r="P208" s="408"/>
      <c r="Q208" s="408"/>
      <c r="R208" s="408"/>
    </row>
    <row r="209" spans="13:18" ht="18.75">
      <c r="M209" s="450"/>
      <c r="N209" s="408"/>
      <c r="O209" s="408"/>
      <c r="P209" s="408"/>
      <c r="Q209" s="408"/>
      <c r="R209" s="408"/>
    </row>
    <row r="210" spans="13:18" ht="18.75">
      <c r="M210" s="450"/>
      <c r="N210" s="408"/>
      <c r="O210" s="408"/>
      <c r="P210" s="408"/>
      <c r="Q210" s="408"/>
      <c r="R210" s="408"/>
    </row>
    <row r="211" spans="13:18" ht="18.75">
      <c r="M211" s="450"/>
      <c r="N211" s="408"/>
      <c r="O211" s="408"/>
      <c r="P211" s="408"/>
      <c r="Q211" s="408"/>
      <c r="R211" s="408"/>
    </row>
    <row r="212" spans="13:18" ht="18.75">
      <c r="M212" s="450"/>
      <c r="N212" s="408"/>
      <c r="O212" s="408"/>
      <c r="P212" s="408"/>
      <c r="Q212" s="408"/>
      <c r="R212" s="408"/>
    </row>
    <row r="213" spans="13:18" ht="18.75">
      <c r="M213" s="450"/>
      <c r="N213" s="408"/>
      <c r="O213" s="408"/>
      <c r="P213" s="408"/>
      <c r="Q213" s="408"/>
      <c r="R213" s="408"/>
    </row>
    <row r="214" spans="13:18" ht="18.75">
      <c r="M214" s="450"/>
      <c r="N214" s="408"/>
      <c r="O214" s="408"/>
      <c r="P214" s="408"/>
      <c r="Q214" s="408"/>
      <c r="R214" s="408"/>
    </row>
    <row r="215" spans="13:18" ht="18.75">
      <c r="M215" s="450"/>
      <c r="N215" s="408"/>
      <c r="O215" s="408"/>
      <c r="P215" s="408"/>
      <c r="Q215" s="408"/>
      <c r="R215" s="408"/>
    </row>
    <row r="216" spans="13:18" ht="18.75">
      <c r="M216" s="450"/>
      <c r="N216" s="408"/>
      <c r="O216" s="408"/>
      <c r="P216" s="408"/>
      <c r="Q216" s="408"/>
      <c r="R216" s="408"/>
    </row>
    <row r="217" spans="13:18" ht="18.75">
      <c r="M217" s="450"/>
      <c r="N217" s="408"/>
      <c r="O217" s="408"/>
      <c r="P217" s="408"/>
      <c r="Q217" s="408"/>
      <c r="R217" s="408"/>
    </row>
    <row r="218" spans="13:18" ht="18.75">
      <c r="M218" s="450"/>
      <c r="N218" s="408"/>
      <c r="O218" s="408"/>
      <c r="P218" s="408"/>
      <c r="Q218" s="408"/>
      <c r="R218" s="408"/>
    </row>
    <row r="219" spans="13:18" ht="18.75">
      <c r="M219" s="450"/>
      <c r="N219" s="408"/>
      <c r="O219" s="408"/>
      <c r="P219" s="408"/>
      <c r="Q219" s="408"/>
      <c r="R219" s="408"/>
    </row>
    <row r="220" spans="13:18" ht="18.75">
      <c r="M220" s="450"/>
      <c r="N220" s="408"/>
      <c r="O220" s="408"/>
      <c r="P220" s="408"/>
      <c r="Q220" s="408"/>
      <c r="R220" s="408"/>
    </row>
    <row r="221" spans="13:18" ht="18.75">
      <c r="M221" s="450"/>
      <c r="N221" s="408"/>
      <c r="O221" s="408"/>
      <c r="P221" s="408"/>
      <c r="Q221" s="408"/>
      <c r="R221" s="408"/>
    </row>
    <row r="222" spans="13:18" ht="18.75">
      <c r="M222" s="450"/>
      <c r="N222" s="408"/>
      <c r="O222" s="408"/>
      <c r="P222" s="408"/>
      <c r="Q222" s="408"/>
      <c r="R222" s="408"/>
    </row>
    <row r="223" spans="13:18" ht="18.75">
      <c r="M223" s="450"/>
      <c r="N223" s="408"/>
      <c r="O223" s="408"/>
      <c r="P223" s="408"/>
      <c r="Q223" s="408"/>
      <c r="R223" s="408"/>
    </row>
    <row r="224" spans="13:18" ht="18.75">
      <c r="M224" s="450"/>
      <c r="N224" s="408"/>
      <c r="O224" s="408"/>
      <c r="P224" s="408"/>
      <c r="Q224" s="408"/>
      <c r="R224" s="408"/>
    </row>
    <row r="225" spans="13:18" ht="18.75">
      <c r="M225" s="450"/>
      <c r="N225" s="408"/>
      <c r="O225" s="408"/>
      <c r="P225" s="408"/>
      <c r="Q225" s="408"/>
      <c r="R225" s="408"/>
    </row>
    <row r="226" spans="13:18" ht="18.75">
      <c r="M226" s="450"/>
      <c r="N226" s="408"/>
      <c r="O226" s="408"/>
      <c r="P226" s="408"/>
      <c r="Q226" s="408"/>
      <c r="R226" s="408"/>
    </row>
    <row r="227" spans="13:18" ht="18.75">
      <c r="M227" s="450"/>
      <c r="N227" s="408"/>
      <c r="O227" s="408"/>
      <c r="P227" s="408"/>
      <c r="Q227" s="408"/>
      <c r="R227" s="408"/>
    </row>
    <row r="228" spans="13:18" ht="18.75">
      <c r="M228" s="450"/>
      <c r="N228" s="408"/>
      <c r="O228" s="408"/>
      <c r="P228" s="408"/>
      <c r="Q228" s="408"/>
      <c r="R228" s="408"/>
    </row>
    <row r="229" spans="13:18" ht="18.75">
      <c r="M229" s="450"/>
      <c r="N229" s="408"/>
      <c r="O229" s="408"/>
      <c r="P229" s="408"/>
      <c r="Q229" s="408"/>
      <c r="R229" s="408"/>
    </row>
    <row r="230" spans="13:18" ht="18.75">
      <c r="M230" s="450"/>
      <c r="N230" s="408"/>
      <c r="O230" s="408"/>
      <c r="P230" s="408"/>
      <c r="Q230" s="408"/>
      <c r="R230" s="408"/>
    </row>
    <row r="231" spans="13:18" ht="18.75">
      <c r="M231" s="450"/>
      <c r="N231" s="408"/>
      <c r="O231" s="408"/>
      <c r="P231" s="408"/>
      <c r="Q231" s="408"/>
      <c r="R231" s="408"/>
    </row>
    <row r="232" spans="13:18" ht="18.75">
      <c r="M232" s="450"/>
      <c r="N232" s="408"/>
      <c r="O232" s="408"/>
      <c r="P232" s="408"/>
      <c r="Q232" s="408"/>
      <c r="R232" s="408"/>
    </row>
    <row r="233" spans="13:18" ht="18.75">
      <c r="M233" s="450"/>
      <c r="N233" s="408"/>
      <c r="O233" s="408"/>
      <c r="P233" s="408"/>
      <c r="Q233" s="408"/>
      <c r="R233" s="408"/>
    </row>
    <row r="234" spans="13:18" ht="18.75">
      <c r="M234" s="450"/>
      <c r="N234" s="408"/>
      <c r="O234" s="408"/>
      <c r="P234" s="408"/>
      <c r="Q234" s="408"/>
      <c r="R234" s="408"/>
    </row>
    <row r="235" spans="13:18" ht="18.75">
      <c r="M235" s="450"/>
      <c r="N235" s="408"/>
      <c r="O235" s="408"/>
      <c r="P235" s="408"/>
      <c r="Q235" s="408"/>
      <c r="R235" s="408"/>
    </row>
    <row r="236" spans="13:18" ht="18.75">
      <c r="M236" s="450"/>
      <c r="N236" s="408"/>
      <c r="O236" s="408"/>
      <c r="P236" s="408"/>
      <c r="Q236" s="408"/>
      <c r="R236" s="408"/>
    </row>
    <row r="237" spans="13:18" ht="18.75">
      <c r="M237" s="450"/>
      <c r="N237" s="408"/>
      <c r="O237" s="408"/>
      <c r="P237" s="408"/>
      <c r="Q237" s="408"/>
      <c r="R237" s="408"/>
    </row>
    <row r="238" spans="13:18" ht="18.75">
      <c r="M238" s="450"/>
      <c r="N238" s="408"/>
      <c r="O238" s="408"/>
      <c r="P238" s="408"/>
      <c r="Q238" s="408"/>
      <c r="R238" s="408"/>
    </row>
    <row r="239" spans="13:18" ht="18.75">
      <c r="M239" s="450"/>
      <c r="N239" s="408"/>
      <c r="O239" s="408"/>
      <c r="P239" s="408"/>
      <c r="Q239" s="408"/>
      <c r="R239" s="408"/>
    </row>
    <row r="240" spans="13:18" ht="18.75">
      <c r="M240" s="450"/>
      <c r="N240" s="408"/>
      <c r="O240" s="408"/>
      <c r="P240" s="408"/>
      <c r="Q240" s="408"/>
      <c r="R240" s="408"/>
    </row>
    <row r="241" spans="13:18" ht="18.75">
      <c r="M241" s="450"/>
      <c r="N241" s="408"/>
      <c r="O241" s="408"/>
      <c r="P241" s="408"/>
      <c r="Q241" s="408"/>
      <c r="R241" s="408"/>
    </row>
    <row r="242" spans="13:18" ht="18.75">
      <c r="M242" s="450"/>
      <c r="N242" s="408"/>
      <c r="O242" s="408"/>
      <c r="P242" s="408"/>
      <c r="Q242" s="408"/>
      <c r="R242" s="408"/>
    </row>
    <row r="243" spans="13:18" ht="18.75">
      <c r="M243" s="450"/>
      <c r="N243" s="408"/>
      <c r="O243" s="408"/>
      <c r="P243" s="408"/>
      <c r="Q243" s="408"/>
      <c r="R243" s="408"/>
    </row>
    <row r="244" spans="13:18" ht="18.75">
      <c r="M244" s="450"/>
      <c r="N244" s="408"/>
      <c r="O244" s="408"/>
      <c r="P244" s="408"/>
      <c r="Q244" s="408"/>
      <c r="R244" s="408"/>
    </row>
    <row r="245" spans="13:18" ht="18.75">
      <c r="M245" s="450"/>
      <c r="N245" s="408"/>
      <c r="O245" s="408"/>
      <c r="P245" s="408"/>
      <c r="Q245" s="408"/>
      <c r="R245" s="408"/>
    </row>
    <row r="246" spans="13:18" ht="18.75">
      <c r="M246" s="450"/>
      <c r="N246" s="408"/>
      <c r="O246" s="408"/>
      <c r="P246" s="408"/>
      <c r="Q246" s="408"/>
      <c r="R246" s="408"/>
    </row>
    <row r="247" spans="13:18" ht="18.75">
      <c r="M247" s="450"/>
      <c r="N247" s="408"/>
      <c r="O247" s="408"/>
      <c r="P247" s="408"/>
      <c r="Q247" s="408"/>
      <c r="R247" s="408"/>
    </row>
    <row r="248" spans="13:18" ht="18.75">
      <c r="M248" s="450"/>
      <c r="N248" s="408"/>
      <c r="O248" s="408"/>
      <c r="P248" s="408"/>
      <c r="Q248" s="408"/>
      <c r="R248" s="408"/>
    </row>
    <row r="249" spans="13:18" ht="18.75">
      <c r="M249" s="450"/>
      <c r="N249" s="408"/>
      <c r="O249" s="408"/>
      <c r="P249" s="408"/>
      <c r="Q249" s="408"/>
      <c r="R249" s="408"/>
    </row>
    <row r="250" spans="13:18" ht="18.75">
      <c r="M250" s="450"/>
      <c r="N250" s="408"/>
      <c r="O250" s="408"/>
      <c r="P250" s="408"/>
      <c r="Q250" s="408"/>
      <c r="R250" s="408"/>
    </row>
    <row r="251" spans="13:18" ht="18.75">
      <c r="M251" s="450"/>
      <c r="N251" s="408"/>
      <c r="O251" s="408"/>
      <c r="P251" s="408"/>
      <c r="Q251" s="408"/>
      <c r="R251" s="408"/>
    </row>
    <row r="252" spans="13:18" ht="18.75">
      <c r="M252" s="450"/>
      <c r="N252" s="408"/>
      <c r="O252" s="408"/>
      <c r="P252" s="408"/>
      <c r="Q252" s="408"/>
      <c r="R252" s="408"/>
    </row>
    <row r="253" spans="13:18" ht="18.75">
      <c r="M253" s="450"/>
      <c r="N253" s="408"/>
      <c r="O253" s="408"/>
      <c r="P253" s="408"/>
      <c r="Q253" s="408"/>
      <c r="R253" s="408"/>
    </row>
    <row r="254" spans="13:18" ht="18.75">
      <c r="M254" s="450"/>
      <c r="N254" s="408"/>
      <c r="O254" s="408"/>
      <c r="P254" s="408"/>
      <c r="Q254" s="408"/>
      <c r="R254" s="408"/>
    </row>
    <row r="255" spans="13:18" ht="18.75">
      <c r="M255" s="450"/>
      <c r="N255" s="408"/>
      <c r="O255" s="408"/>
      <c r="P255" s="408"/>
      <c r="Q255" s="408"/>
      <c r="R255" s="408"/>
    </row>
    <row r="256" spans="13:18" ht="18.75">
      <c r="M256" s="450"/>
      <c r="N256" s="408"/>
      <c r="O256" s="408"/>
      <c r="P256" s="408"/>
      <c r="Q256" s="408"/>
      <c r="R256" s="408"/>
    </row>
    <row r="257" spans="13:18" ht="18.75">
      <c r="M257" s="450"/>
      <c r="N257" s="408"/>
      <c r="O257" s="408"/>
      <c r="P257" s="408"/>
      <c r="Q257" s="408"/>
      <c r="R257" s="408"/>
    </row>
    <row r="258" spans="13:18" ht="18.75">
      <c r="M258" s="450"/>
      <c r="N258" s="408"/>
      <c r="O258" s="408"/>
      <c r="P258" s="408"/>
      <c r="Q258" s="408"/>
      <c r="R258" s="408"/>
    </row>
    <row r="259" spans="13:18" ht="18.75">
      <c r="M259" s="450"/>
      <c r="N259" s="408"/>
      <c r="O259" s="408"/>
      <c r="P259" s="408"/>
      <c r="Q259" s="408"/>
      <c r="R259" s="408"/>
    </row>
    <row r="260" spans="13:18" ht="18.75">
      <c r="M260" s="450"/>
      <c r="N260" s="408"/>
      <c r="O260" s="408"/>
      <c r="P260" s="408"/>
      <c r="Q260" s="408"/>
      <c r="R260" s="408"/>
    </row>
    <row r="261" spans="13:18" ht="18.75">
      <c r="M261" s="450"/>
      <c r="N261" s="408"/>
      <c r="O261" s="408"/>
      <c r="P261" s="408"/>
      <c r="Q261" s="408"/>
      <c r="R261" s="408"/>
    </row>
    <row r="262" spans="13:18" ht="18.75">
      <c r="M262" s="450"/>
      <c r="N262" s="408"/>
      <c r="O262" s="408"/>
      <c r="P262" s="408"/>
      <c r="Q262" s="408"/>
      <c r="R262" s="408"/>
    </row>
    <row r="263" spans="13:18" ht="18.75">
      <c r="M263" s="450"/>
      <c r="N263" s="408"/>
      <c r="O263" s="408"/>
      <c r="P263" s="408"/>
      <c r="Q263" s="408"/>
      <c r="R263" s="408"/>
    </row>
    <row r="264" spans="13:18" ht="18.75">
      <c r="M264" s="450"/>
      <c r="N264" s="408"/>
      <c r="O264" s="408"/>
      <c r="P264" s="408"/>
      <c r="Q264" s="408"/>
      <c r="R264" s="408"/>
    </row>
    <row r="265" spans="13:18" ht="18.75">
      <c r="M265" s="450"/>
      <c r="N265" s="408"/>
      <c r="O265" s="408"/>
      <c r="P265" s="408"/>
      <c r="Q265" s="408"/>
      <c r="R265" s="408"/>
    </row>
    <row r="266" spans="13:18" ht="18.75">
      <c r="M266" s="450"/>
      <c r="N266" s="408"/>
      <c r="O266" s="408"/>
      <c r="P266" s="408"/>
      <c r="Q266" s="408"/>
      <c r="R266" s="408"/>
    </row>
    <row r="267" spans="13:18" ht="18.75">
      <c r="M267" s="450"/>
      <c r="N267" s="408"/>
      <c r="O267" s="408"/>
      <c r="P267" s="408"/>
      <c r="Q267" s="408"/>
      <c r="R267" s="408"/>
    </row>
    <row r="268" spans="13:18" ht="18.75">
      <c r="M268" s="450"/>
      <c r="N268" s="408"/>
      <c r="O268" s="408"/>
      <c r="P268" s="408"/>
      <c r="Q268" s="408"/>
      <c r="R268" s="408"/>
    </row>
    <row r="269" spans="13:18" ht="18.75">
      <c r="M269" s="450"/>
      <c r="N269" s="408"/>
      <c r="O269" s="408"/>
      <c r="P269" s="408"/>
      <c r="Q269" s="408"/>
      <c r="R269" s="408"/>
    </row>
    <row r="270" spans="13:18" ht="18.75">
      <c r="M270" s="450"/>
      <c r="N270" s="408"/>
      <c r="O270" s="408"/>
      <c r="P270" s="408"/>
      <c r="Q270" s="408"/>
      <c r="R270" s="408"/>
    </row>
    <row r="271" spans="13:18" ht="18.75">
      <c r="M271" s="450"/>
      <c r="N271" s="408"/>
      <c r="O271" s="408"/>
      <c r="P271" s="408"/>
      <c r="Q271" s="408"/>
      <c r="R271" s="408"/>
    </row>
  </sheetData>
  <sheetProtection/>
  <mergeCells count="8">
    <mergeCell ref="A112:R112"/>
    <mergeCell ref="A154:H179"/>
    <mergeCell ref="A2:R2"/>
    <mergeCell ref="M3:R3"/>
    <mergeCell ref="A4:A5"/>
    <mergeCell ref="B4:F4"/>
    <mergeCell ref="G4:N4"/>
    <mergeCell ref="A7:R7"/>
  </mergeCells>
  <printOptions/>
  <pageMargins left="0.2755905511811024" right="0.15748031496062992" top="0.15748031496062992" bottom="0.15748031496062992" header="0.15748031496062992" footer="0.15748031496062992"/>
  <pageSetup fitToHeight="19" fitToWidth="1" horizontalDpi="600" verticalDpi="600" orientation="landscape" paperSize="9" scale="50" r:id="rId1"/>
  <rowBreaks count="2" manualBreakCount="2">
    <brk id="111" max="255" man="1"/>
    <brk id="133" max="255" man="1"/>
  </rowBreaks>
</worksheet>
</file>

<file path=xl/worksheets/sheet5.xml><?xml version="1.0" encoding="utf-8"?>
<worksheet xmlns="http://schemas.openxmlformats.org/spreadsheetml/2006/main" xmlns:r="http://schemas.openxmlformats.org/officeDocument/2006/relationships">
  <sheetPr>
    <tabColor rgb="FFFF0000"/>
  </sheetPr>
  <dimension ref="A1:X273"/>
  <sheetViews>
    <sheetView view="pageBreakPreview" zoomScale="60" zoomScalePageLayoutView="0" workbookViewId="0" topLeftCell="A125">
      <selection activeCell="L130" sqref="L130"/>
    </sheetView>
  </sheetViews>
  <sheetFormatPr defaultColWidth="12.19921875" defaultRowHeight="15"/>
  <cols>
    <col min="1" max="1" width="38" style="437" customWidth="1"/>
    <col min="2" max="2" width="11.3984375" style="404" customWidth="1"/>
    <col min="3" max="3" width="12.09765625" style="365" customWidth="1"/>
    <col min="4" max="4" width="12.19921875" style="405" customWidth="1"/>
    <col min="5" max="5" width="10.69921875" style="405" customWidth="1"/>
    <col min="6" max="6" width="12" style="405" customWidth="1"/>
    <col min="7" max="7" width="13.8984375" style="405" customWidth="1"/>
    <col min="8" max="8" width="13.19921875" style="405" customWidth="1"/>
    <col min="9" max="9" width="11.69921875" style="406" hidden="1" customWidth="1"/>
    <col min="10" max="10" width="12.19921875" style="407" hidden="1" customWidth="1"/>
    <col min="11" max="11" width="12" style="406" hidden="1" customWidth="1"/>
    <col min="12" max="12" width="11.69921875" style="365" customWidth="1"/>
    <col min="13" max="13" width="12.69921875" style="451" customWidth="1"/>
    <col min="14" max="14" width="9.3984375" style="365" customWidth="1"/>
    <col min="15" max="15" width="11.69921875" style="365" customWidth="1"/>
    <col min="16" max="16" width="10" style="430" hidden="1" customWidth="1"/>
    <col min="17" max="17" width="11.8984375" style="365" customWidth="1"/>
    <col min="18" max="18" width="12" style="430" hidden="1" customWidth="1"/>
    <col min="19" max="19" width="36.19921875" style="365" customWidth="1"/>
    <col min="20" max="22" width="12.19921875" style="365" customWidth="1"/>
    <col min="23" max="23" width="12.19921875" style="366" customWidth="1"/>
    <col min="24" max="16384" width="12.19921875" style="365" customWidth="1"/>
  </cols>
  <sheetData>
    <row r="1" spans="1:23" ht="18.75">
      <c r="A1" s="244"/>
      <c r="B1" s="440"/>
      <c r="C1" s="408"/>
      <c r="D1" s="441"/>
      <c r="E1" s="441"/>
      <c r="F1" s="441"/>
      <c r="G1" s="441"/>
      <c r="H1" s="441"/>
      <c r="I1" s="442"/>
      <c r="J1" s="443"/>
      <c r="K1" s="442"/>
      <c r="L1" s="408"/>
      <c r="M1" s="408"/>
      <c r="N1" s="408"/>
      <c r="O1" s="408"/>
      <c r="P1" s="408"/>
      <c r="Q1" s="408"/>
      <c r="R1" s="408"/>
      <c r="S1" s="365">
        <v>16</v>
      </c>
      <c r="W1" s="409"/>
    </row>
    <row r="2" spans="1:23" s="410" customFormat="1" ht="22.5">
      <c r="A2" s="830" t="s">
        <v>171</v>
      </c>
      <c r="B2" s="830"/>
      <c r="C2" s="830"/>
      <c r="D2" s="830"/>
      <c r="E2" s="830"/>
      <c r="F2" s="830"/>
      <c r="G2" s="830"/>
      <c r="H2" s="830"/>
      <c r="I2" s="830"/>
      <c r="J2" s="830"/>
      <c r="K2" s="830"/>
      <c r="L2" s="830"/>
      <c r="M2" s="830"/>
      <c r="N2" s="830"/>
      <c r="O2" s="830"/>
      <c r="P2" s="830"/>
      <c r="Q2" s="830"/>
      <c r="R2" s="830"/>
      <c r="W2" s="411"/>
    </row>
    <row r="3" spans="1:23" s="410" customFormat="1" ht="20.25">
      <c r="A3" s="444"/>
      <c r="B3" s="445"/>
      <c r="C3" s="446"/>
      <c r="D3" s="447"/>
      <c r="E3" s="448"/>
      <c r="F3" s="448"/>
      <c r="G3" s="447"/>
      <c r="H3" s="447"/>
      <c r="I3" s="447"/>
      <c r="J3" s="447"/>
      <c r="K3" s="447"/>
      <c r="L3" s="446"/>
      <c r="M3" s="831"/>
      <c r="N3" s="831"/>
      <c r="O3" s="831"/>
      <c r="P3" s="831"/>
      <c r="Q3" s="831"/>
      <c r="R3" s="831"/>
      <c r="W3" s="412"/>
    </row>
    <row r="4" spans="1:23" s="350" customFormat="1" ht="18.75" customHeight="1">
      <c r="A4" s="832" t="s">
        <v>61</v>
      </c>
      <c r="B4" s="827">
        <v>2017</v>
      </c>
      <c r="C4" s="828"/>
      <c r="D4" s="828"/>
      <c r="E4" s="828"/>
      <c r="F4" s="829"/>
      <c r="G4" s="827">
        <v>2018</v>
      </c>
      <c r="H4" s="828"/>
      <c r="I4" s="828"/>
      <c r="J4" s="828"/>
      <c r="K4" s="828"/>
      <c r="L4" s="828"/>
      <c r="M4" s="828"/>
      <c r="N4" s="828"/>
      <c r="O4" s="312"/>
      <c r="P4" s="312"/>
      <c r="Q4" s="312"/>
      <c r="R4" s="313"/>
      <c r="S4" s="349"/>
      <c r="W4" s="351"/>
    </row>
    <row r="5" spans="1:23" s="357" customFormat="1" ht="162.75" customHeight="1">
      <c r="A5" s="833"/>
      <c r="B5" s="352" t="s">
        <v>119</v>
      </c>
      <c r="C5" s="353" t="s">
        <v>120</v>
      </c>
      <c r="D5" s="352" t="s">
        <v>168</v>
      </c>
      <c r="E5" s="315" t="s">
        <v>169</v>
      </c>
      <c r="F5" s="354" t="s">
        <v>170</v>
      </c>
      <c r="G5" s="314" t="s">
        <v>330</v>
      </c>
      <c r="H5" s="314" t="s">
        <v>33</v>
      </c>
      <c r="I5" s="314" t="s">
        <v>141</v>
      </c>
      <c r="J5" s="455" t="s">
        <v>34</v>
      </c>
      <c r="K5" s="455" t="s">
        <v>62</v>
      </c>
      <c r="L5" s="353" t="s">
        <v>63</v>
      </c>
      <c r="M5" s="315" t="s">
        <v>35</v>
      </c>
      <c r="N5" s="315" t="s">
        <v>138</v>
      </c>
      <c r="O5" s="315" t="s">
        <v>139</v>
      </c>
      <c r="P5" s="315" t="s">
        <v>64</v>
      </c>
      <c r="Q5" s="315" t="s">
        <v>140</v>
      </c>
      <c r="R5" s="315" t="s">
        <v>267</v>
      </c>
      <c r="S5" s="355" t="s">
        <v>303</v>
      </c>
      <c r="T5" s="356"/>
      <c r="W5" s="362"/>
    </row>
    <row r="6" spans="1:23" s="481" customFormat="1" ht="15.75">
      <c r="A6" s="475">
        <v>1</v>
      </c>
      <c r="B6" s="474">
        <v>2</v>
      </c>
      <c r="C6" s="474">
        <v>3</v>
      </c>
      <c r="D6" s="474">
        <v>4</v>
      </c>
      <c r="E6" s="476">
        <v>5</v>
      </c>
      <c r="F6" s="476">
        <v>6</v>
      </c>
      <c r="G6" s="477">
        <v>7</v>
      </c>
      <c r="H6" s="477">
        <v>8</v>
      </c>
      <c r="I6" s="477">
        <v>9</v>
      </c>
      <c r="J6" s="477">
        <v>9</v>
      </c>
      <c r="K6" s="478">
        <v>11</v>
      </c>
      <c r="L6" s="477">
        <v>9</v>
      </c>
      <c r="M6" s="477">
        <v>10</v>
      </c>
      <c r="N6" s="478">
        <v>11</v>
      </c>
      <c r="O6" s="477">
        <v>12</v>
      </c>
      <c r="P6" s="474">
        <v>14</v>
      </c>
      <c r="Q6" s="474">
        <v>13</v>
      </c>
      <c r="R6" s="474">
        <v>16</v>
      </c>
      <c r="S6" s="479" t="s">
        <v>305</v>
      </c>
      <c r="T6" s="480">
        <f>7/12</f>
        <v>0.5833333333333334</v>
      </c>
      <c r="W6" s="482"/>
    </row>
    <row r="7" spans="1:20" ht="15.75">
      <c r="A7" s="834" t="s">
        <v>65</v>
      </c>
      <c r="B7" s="835"/>
      <c r="C7" s="835"/>
      <c r="D7" s="835"/>
      <c r="E7" s="835"/>
      <c r="F7" s="835"/>
      <c r="G7" s="835"/>
      <c r="H7" s="835"/>
      <c r="I7" s="835"/>
      <c r="J7" s="835"/>
      <c r="K7" s="835"/>
      <c r="L7" s="835"/>
      <c r="M7" s="835"/>
      <c r="N7" s="835"/>
      <c r="O7" s="835"/>
      <c r="P7" s="835"/>
      <c r="Q7" s="835"/>
      <c r="R7" s="836"/>
      <c r="S7" s="140" t="s">
        <v>306</v>
      </c>
      <c r="T7" s="141">
        <f>6/12</f>
        <v>0.5</v>
      </c>
    </row>
    <row r="8" spans="1:23" s="370" customFormat="1" ht="18.75">
      <c r="A8" s="367" t="s">
        <v>66</v>
      </c>
      <c r="B8" s="368">
        <v>10000000</v>
      </c>
      <c r="C8" s="6">
        <f>C9+C13+C23+C19</f>
        <v>1295006.7</v>
      </c>
      <c r="D8" s="6">
        <f>D9+D13+D23+D19</f>
        <v>702529.7</v>
      </c>
      <c r="E8" s="6">
        <f>L8-D8</f>
        <v>164559.8999999999</v>
      </c>
      <c r="F8" s="6">
        <f aca="true" t="shared" si="0" ref="F8:F74">L8/D8*100</f>
        <v>123.42390649107075</v>
      </c>
      <c r="G8" s="6">
        <f aca="true" t="shared" si="1" ref="G8:M8">G9+G13+G23+G19</f>
        <v>1536023</v>
      </c>
      <c r="H8" s="484">
        <f t="shared" si="1"/>
        <v>896013.4333333332</v>
      </c>
      <c r="I8" s="484">
        <f t="shared" si="1"/>
        <v>896013.4166666666</v>
      </c>
      <c r="J8" s="484">
        <f t="shared" si="1"/>
        <v>828383.2</v>
      </c>
      <c r="K8" s="484">
        <f t="shared" si="1"/>
        <v>828383.2</v>
      </c>
      <c r="L8" s="6">
        <f t="shared" si="1"/>
        <v>867089.5999999999</v>
      </c>
      <c r="M8" s="6" t="e">
        <f t="shared" si="1"/>
        <v>#REF!</v>
      </c>
      <c r="N8" s="6">
        <f aca="true" t="shared" si="2" ref="N8:N44">L8/G8*100</f>
        <v>56.450300548885004</v>
      </c>
      <c r="O8" s="6">
        <f aca="true" t="shared" si="3" ref="O8:O14">L8/I8*100</f>
        <v>96.77194379808857</v>
      </c>
      <c r="P8" s="6">
        <f aca="true" t="shared" si="4" ref="P8:P14">L8/K8*100</f>
        <v>104.67252353741601</v>
      </c>
      <c r="Q8" s="6">
        <f aca="true" t="shared" si="5" ref="Q8:Q74">L8-I8</f>
        <v>-28923.816666666768</v>
      </c>
      <c r="R8" s="6">
        <f aca="true" t="shared" si="6" ref="R8:R74">L8-K8</f>
        <v>38706.39999999991</v>
      </c>
      <c r="S8" s="140" t="s">
        <v>3</v>
      </c>
      <c r="T8" s="141">
        <f>8/264</f>
        <v>0.030303030303030304</v>
      </c>
      <c r="U8" s="322">
        <f aca="true" t="shared" si="7" ref="U8:U19">L8/G8*100-N8</f>
        <v>0</v>
      </c>
      <c r="V8" s="322">
        <f aca="true" t="shared" si="8" ref="V8:V19">L8/I8*100-O8</f>
        <v>0</v>
      </c>
      <c r="W8" s="369">
        <f>L8/K8*100-P8</f>
        <v>0</v>
      </c>
    </row>
    <row r="9" spans="1:24" s="370" customFormat="1" ht="31.5">
      <c r="A9" s="367" t="s">
        <v>67</v>
      </c>
      <c r="B9" s="368">
        <v>11000000</v>
      </c>
      <c r="C9" s="6">
        <f>C10+C11</f>
        <v>844789.9</v>
      </c>
      <c r="D9" s="6">
        <f>D10+D11</f>
        <v>453278.8</v>
      </c>
      <c r="E9" s="6">
        <f>L9-D9</f>
        <v>138703.8</v>
      </c>
      <c r="F9" s="6">
        <f t="shared" si="0"/>
        <v>130.60010748351786</v>
      </c>
      <c r="G9" s="6">
        <f aca="true" t="shared" si="9" ref="G9:M9">G10+G11</f>
        <v>1034296.1</v>
      </c>
      <c r="H9" s="484">
        <f t="shared" si="9"/>
        <v>603339.4</v>
      </c>
      <c r="I9" s="484">
        <f t="shared" si="9"/>
        <v>603339.3916666667</v>
      </c>
      <c r="J9" s="484">
        <f t="shared" si="9"/>
        <v>550202.5</v>
      </c>
      <c r="K9" s="6">
        <f t="shared" si="9"/>
        <v>550202.5</v>
      </c>
      <c r="L9" s="6">
        <f t="shared" si="9"/>
        <v>591982.6</v>
      </c>
      <c r="M9" s="6" t="e">
        <f t="shared" si="9"/>
        <v>#REF!</v>
      </c>
      <c r="N9" s="6">
        <f t="shared" si="2"/>
        <v>57.23531201558239</v>
      </c>
      <c r="O9" s="6">
        <f t="shared" si="3"/>
        <v>98.11767774099836</v>
      </c>
      <c r="P9" s="6">
        <f t="shared" si="4"/>
        <v>107.5935859978826</v>
      </c>
      <c r="Q9" s="6">
        <f t="shared" si="5"/>
        <v>-11356.791666666744</v>
      </c>
      <c r="R9" s="6">
        <f t="shared" si="6"/>
        <v>41780.09999999998</v>
      </c>
      <c r="S9" s="321">
        <f>L9-I9-Q9</f>
        <v>0</v>
      </c>
      <c r="T9" s="345">
        <f>G9*6/12+G9*18/(21*12)</f>
        <v>591026.3428571429</v>
      </c>
      <c r="U9" s="322">
        <f t="shared" si="7"/>
        <v>0</v>
      </c>
      <c r="V9" s="322">
        <f t="shared" si="8"/>
        <v>0</v>
      </c>
      <c r="W9" s="323">
        <f aca="true" t="shared" si="10" ref="W9:W64">H9-I9</f>
        <v>0.008333333302289248</v>
      </c>
      <c r="X9" s="322">
        <f aca="true" t="shared" si="11" ref="X9:X64">J9-K9</f>
        <v>0</v>
      </c>
    </row>
    <row r="10" spans="1:24" s="413" customFormat="1" ht="20.25">
      <c r="A10" s="342" t="s">
        <v>153</v>
      </c>
      <c r="B10" s="325">
        <v>11010000</v>
      </c>
      <c r="C10" s="3">
        <v>844399</v>
      </c>
      <c r="D10" s="3">
        <v>452891.2</v>
      </c>
      <c r="E10" s="25">
        <f>L10-D10</f>
        <v>138903.89999999997</v>
      </c>
      <c r="F10" s="25">
        <f t="shared" si="0"/>
        <v>130.67047891414097</v>
      </c>
      <c r="G10" s="3">
        <f>1015300+18717.7</f>
        <v>1034017.7</v>
      </c>
      <c r="H10" s="456">
        <f>ROUND(G10*$T$6,1)</f>
        <v>603177</v>
      </c>
      <c r="I10" s="485">
        <f>G10/12*6+G10/12*22/22</f>
        <v>603176.9916666667</v>
      </c>
      <c r="J10" s="456">
        <v>549926.5</v>
      </c>
      <c r="K10" s="3">
        <v>549926.5</v>
      </c>
      <c r="L10" s="3">
        <v>591795.1</v>
      </c>
      <c r="M10" s="3" t="e">
        <f>L10-#REF!</f>
        <v>#REF!</v>
      </c>
      <c r="N10" s="25">
        <f t="shared" si="2"/>
        <v>57.2325889585836</v>
      </c>
      <c r="O10" s="25">
        <f t="shared" si="3"/>
        <v>98.11300964328615</v>
      </c>
      <c r="P10" s="25">
        <f t="shared" si="4"/>
        <v>107.61349016641316</v>
      </c>
      <c r="Q10" s="25">
        <f t="shared" si="5"/>
        <v>-11381.891666666721</v>
      </c>
      <c r="R10" s="25">
        <f t="shared" si="6"/>
        <v>41868.59999999998</v>
      </c>
      <c r="S10" s="321">
        <f>L10/$L$62*100</f>
        <v>65.27636771259317</v>
      </c>
      <c r="T10" s="345">
        <f>G10*6/12+G10*18/(21*12)</f>
        <v>590867.2571428571</v>
      </c>
      <c r="U10" s="322">
        <f t="shared" si="7"/>
        <v>0</v>
      </c>
      <c r="V10" s="322">
        <f t="shared" si="8"/>
        <v>0</v>
      </c>
      <c r="W10" s="323">
        <f t="shared" si="10"/>
        <v>0.008333333302289248</v>
      </c>
      <c r="X10" s="322">
        <f t="shared" si="11"/>
        <v>0</v>
      </c>
    </row>
    <row r="11" spans="1:24" s="414" customFormat="1" ht="20.25">
      <c r="A11" s="342" t="s">
        <v>293</v>
      </c>
      <c r="B11" s="325">
        <v>11020000</v>
      </c>
      <c r="C11" s="3">
        <f>C12</f>
        <v>390.9</v>
      </c>
      <c r="D11" s="3">
        <f>D12</f>
        <v>387.6</v>
      </c>
      <c r="E11" s="25">
        <f>E12</f>
        <v>-200.10000000000002</v>
      </c>
      <c r="F11" s="25">
        <f t="shared" si="0"/>
        <v>48.37461300309597</v>
      </c>
      <c r="G11" s="3">
        <f aca="true" t="shared" si="12" ref="G11:L11">G12</f>
        <v>278.4</v>
      </c>
      <c r="H11" s="3">
        <f t="shared" si="12"/>
        <v>162.4</v>
      </c>
      <c r="I11" s="3">
        <f t="shared" si="12"/>
        <v>162.39999999999998</v>
      </c>
      <c r="J11" s="3">
        <f t="shared" si="12"/>
        <v>276</v>
      </c>
      <c r="K11" s="3">
        <f t="shared" si="12"/>
        <v>276</v>
      </c>
      <c r="L11" s="3">
        <f t="shared" si="12"/>
        <v>187.5</v>
      </c>
      <c r="M11" s="3" t="e">
        <f>L11-#REF!</f>
        <v>#REF!</v>
      </c>
      <c r="N11" s="3">
        <f t="shared" si="2"/>
        <v>67.34913793103449</v>
      </c>
      <c r="O11" s="25">
        <f t="shared" si="3"/>
        <v>115.45566502463056</v>
      </c>
      <c r="P11" s="3">
        <f t="shared" si="4"/>
        <v>67.93478260869566</v>
      </c>
      <c r="Q11" s="25">
        <f t="shared" si="5"/>
        <v>25.100000000000023</v>
      </c>
      <c r="R11" s="25">
        <f t="shared" si="6"/>
        <v>-88.5</v>
      </c>
      <c r="S11" s="321">
        <f>L11/$L$62*100</f>
        <v>0.020681683484894044</v>
      </c>
      <c r="T11" s="345">
        <f>G11*6/12+G11*18/(21*12)</f>
        <v>159.0857142857143</v>
      </c>
      <c r="U11" s="322">
        <f t="shared" si="7"/>
        <v>0</v>
      </c>
      <c r="V11" s="322">
        <f t="shared" si="8"/>
        <v>0</v>
      </c>
      <c r="W11" s="323">
        <f t="shared" si="10"/>
        <v>0</v>
      </c>
      <c r="X11" s="322">
        <f t="shared" si="11"/>
        <v>0</v>
      </c>
    </row>
    <row r="12" spans="1:24" s="415" customFormat="1" ht="31.5">
      <c r="A12" s="343" t="s">
        <v>69</v>
      </c>
      <c r="B12" s="344">
        <v>11020201</v>
      </c>
      <c r="C12" s="8">
        <v>390.9</v>
      </c>
      <c r="D12" s="8">
        <v>387.6</v>
      </c>
      <c r="E12" s="25">
        <f aca="true" t="shared" si="13" ref="E12:E80">L12-D12</f>
        <v>-200.10000000000002</v>
      </c>
      <c r="F12" s="25">
        <f t="shared" si="0"/>
        <v>48.37461300309597</v>
      </c>
      <c r="G12" s="8">
        <v>278.4</v>
      </c>
      <c r="H12" s="3">
        <f>ROUND(G12*$T$6,1)</f>
        <v>162.4</v>
      </c>
      <c r="I12" s="3">
        <f>G12/12*6+G12/12*22/22</f>
        <v>162.39999999999998</v>
      </c>
      <c r="J12" s="8">
        <v>276</v>
      </c>
      <c r="K12" s="8">
        <v>276</v>
      </c>
      <c r="L12" s="8">
        <v>187.5</v>
      </c>
      <c r="M12" s="3" t="e">
        <f>L12-#REF!</f>
        <v>#REF!</v>
      </c>
      <c r="N12" s="36">
        <f t="shared" si="2"/>
        <v>67.34913793103449</v>
      </c>
      <c r="O12" s="25">
        <f t="shared" si="3"/>
        <v>115.45566502463056</v>
      </c>
      <c r="P12" s="36">
        <f t="shared" si="4"/>
        <v>67.93478260869566</v>
      </c>
      <c r="Q12" s="25">
        <f t="shared" si="5"/>
        <v>25.100000000000023</v>
      </c>
      <c r="R12" s="25">
        <f t="shared" si="6"/>
        <v>-88.5</v>
      </c>
      <c r="S12" s="321">
        <f>L12/$L$62*100</f>
        <v>0.020681683484894044</v>
      </c>
      <c r="T12" s="345">
        <f>G12*6/12+G12*18/(21*12)</f>
        <v>159.0857142857143</v>
      </c>
      <c r="U12" s="322">
        <f t="shared" si="7"/>
        <v>0</v>
      </c>
      <c r="V12" s="322">
        <f t="shared" si="8"/>
        <v>0</v>
      </c>
      <c r="W12" s="323">
        <f t="shared" si="10"/>
        <v>0</v>
      </c>
      <c r="X12" s="322">
        <f t="shared" si="11"/>
        <v>0</v>
      </c>
    </row>
    <row r="13" spans="1:24" s="416" customFormat="1" ht="31.5">
      <c r="A13" s="326" t="s">
        <v>123</v>
      </c>
      <c r="B13" s="320">
        <v>13000000</v>
      </c>
      <c r="C13" s="9">
        <f>C14+C18+C15</f>
        <v>125.5</v>
      </c>
      <c r="D13" s="9">
        <f>D14+D18+D15</f>
        <v>36.9</v>
      </c>
      <c r="E13" s="6">
        <f t="shared" si="13"/>
        <v>77.1</v>
      </c>
      <c r="F13" s="6">
        <f>L13/D13*100</f>
        <v>308.9430894308943</v>
      </c>
      <c r="G13" s="9">
        <f aca="true" t="shared" si="14" ref="G13:L13">G14+G18+G15</f>
        <v>76.6</v>
      </c>
      <c r="H13" s="9">
        <f t="shared" si="14"/>
        <v>44.7</v>
      </c>
      <c r="I13" s="483">
        <f t="shared" si="14"/>
        <v>44.68333333333334</v>
      </c>
      <c r="J13" s="9">
        <f t="shared" si="14"/>
        <v>22.5</v>
      </c>
      <c r="K13" s="9">
        <f t="shared" si="14"/>
        <v>22.5</v>
      </c>
      <c r="L13" s="9">
        <f t="shared" si="14"/>
        <v>114</v>
      </c>
      <c r="M13" s="9" t="e">
        <f>L13-#REF!</f>
        <v>#REF!</v>
      </c>
      <c r="N13" s="9">
        <f t="shared" si="2"/>
        <v>148.82506527415146</v>
      </c>
      <c r="O13" s="6">
        <f t="shared" si="3"/>
        <v>255.12868332711673</v>
      </c>
      <c r="P13" s="9">
        <f t="shared" si="4"/>
        <v>506.66666666666663</v>
      </c>
      <c r="Q13" s="6">
        <f t="shared" si="5"/>
        <v>69.31666666666666</v>
      </c>
      <c r="R13" s="6">
        <f t="shared" si="6"/>
        <v>91.5</v>
      </c>
      <c r="S13" s="321">
        <f>L13/$L$62*100</f>
        <v>0.012574463558815578</v>
      </c>
      <c r="T13" s="322">
        <f>L13-K13-R13</f>
        <v>0</v>
      </c>
      <c r="U13" s="322">
        <f t="shared" si="7"/>
        <v>0</v>
      </c>
      <c r="V13" s="322">
        <f t="shared" si="8"/>
        <v>0</v>
      </c>
      <c r="W13" s="323">
        <f t="shared" si="10"/>
        <v>0.01666666666666572</v>
      </c>
      <c r="X13" s="322">
        <f t="shared" si="11"/>
        <v>0</v>
      </c>
    </row>
    <row r="14" spans="1:24" s="417" customFormat="1" ht="78.75">
      <c r="A14" s="340" t="s">
        <v>124</v>
      </c>
      <c r="B14" s="325">
        <v>13010200</v>
      </c>
      <c r="C14" s="3">
        <v>92.7</v>
      </c>
      <c r="D14" s="3">
        <v>25.9</v>
      </c>
      <c r="E14" s="25">
        <f t="shared" si="13"/>
        <v>63.800000000000004</v>
      </c>
      <c r="F14" s="25">
        <f t="shared" si="0"/>
        <v>346.3320463320464</v>
      </c>
      <c r="G14" s="3">
        <v>56.6</v>
      </c>
      <c r="H14" s="3">
        <f>ROUND(G14*$T$6,1)</f>
        <v>33</v>
      </c>
      <c r="I14" s="7">
        <f>G14/12*6+G14/12*22/22</f>
        <v>33.016666666666666</v>
      </c>
      <c r="J14" s="3">
        <v>15.8</v>
      </c>
      <c r="K14" s="3">
        <v>15.8</v>
      </c>
      <c r="L14" s="3">
        <v>89.7</v>
      </c>
      <c r="M14" s="3" t="e">
        <f>L14-#REF!</f>
        <v>#REF!</v>
      </c>
      <c r="N14" s="3">
        <f t="shared" si="2"/>
        <v>158.48056537102474</v>
      </c>
      <c r="O14" s="3">
        <f t="shared" si="3"/>
        <v>271.680969207471</v>
      </c>
      <c r="P14" s="3">
        <f t="shared" si="4"/>
        <v>567.7215189873418</v>
      </c>
      <c r="Q14" s="25">
        <f t="shared" si="5"/>
        <v>56.68333333333334</v>
      </c>
      <c r="R14" s="25">
        <f t="shared" si="6"/>
        <v>73.9</v>
      </c>
      <c r="S14" s="321">
        <f>L14/$L$62*100</f>
        <v>0.00989411737917331</v>
      </c>
      <c r="T14" s="322">
        <f>L14-K14-R14</f>
        <v>0</v>
      </c>
      <c r="U14" s="322">
        <f t="shared" si="7"/>
        <v>0</v>
      </c>
      <c r="V14" s="322">
        <f t="shared" si="8"/>
        <v>0</v>
      </c>
      <c r="W14" s="323">
        <f t="shared" si="10"/>
        <v>-0.01666666666666572</v>
      </c>
      <c r="X14" s="322">
        <f t="shared" si="11"/>
        <v>0</v>
      </c>
    </row>
    <row r="15" spans="1:24" s="413" customFormat="1" ht="20.25" hidden="1">
      <c r="A15" s="340" t="s">
        <v>1</v>
      </c>
      <c r="B15" s="325">
        <v>13020000</v>
      </c>
      <c r="C15" s="3"/>
      <c r="D15" s="3">
        <f>D16</f>
        <v>0</v>
      </c>
      <c r="E15" s="25">
        <f>L15-D15</f>
        <v>0</v>
      </c>
      <c r="F15" s="256" t="e">
        <f>L15/D15*100</f>
        <v>#DIV/0!</v>
      </c>
      <c r="G15" s="3"/>
      <c r="H15" s="3"/>
      <c r="I15" s="7"/>
      <c r="J15" s="3"/>
      <c r="K15" s="3"/>
      <c r="L15" s="3">
        <f>L16</f>
        <v>0</v>
      </c>
      <c r="M15" s="3" t="e">
        <f>L15-#REF!</f>
        <v>#REF!</v>
      </c>
      <c r="N15" s="3"/>
      <c r="O15" s="3"/>
      <c r="P15" s="3"/>
      <c r="Q15" s="25">
        <f>L15-I15</f>
        <v>0</v>
      </c>
      <c r="R15" s="25">
        <f>L15-K15</f>
        <v>0</v>
      </c>
      <c r="S15" s="347"/>
      <c r="T15" s="348"/>
      <c r="U15" s="348"/>
      <c r="V15" s="348"/>
      <c r="W15" s="390"/>
      <c r="X15" s="348"/>
    </row>
    <row r="16" spans="1:24" s="417" customFormat="1" ht="31.5" hidden="1">
      <c r="A16" s="340" t="s">
        <v>2</v>
      </c>
      <c r="B16" s="325">
        <v>13020200</v>
      </c>
      <c r="C16" s="3"/>
      <c r="D16" s="3"/>
      <c r="E16" s="25">
        <f>L16-D16</f>
        <v>0</v>
      </c>
      <c r="F16" s="256" t="e">
        <f>L16/D16*100</f>
        <v>#DIV/0!</v>
      </c>
      <c r="G16" s="3"/>
      <c r="H16" s="3"/>
      <c r="I16" s="7"/>
      <c r="J16" s="3"/>
      <c r="K16" s="3"/>
      <c r="L16" s="3">
        <v>0</v>
      </c>
      <c r="M16" s="3" t="e">
        <f>L16-#REF!</f>
        <v>#REF!</v>
      </c>
      <c r="N16" s="3"/>
      <c r="O16" s="3"/>
      <c r="P16" s="3"/>
      <c r="Q16" s="25">
        <f>L16-I16</f>
        <v>0</v>
      </c>
      <c r="R16" s="25">
        <f>L16-K16</f>
        <v>0</v>
      </c>
      <c r="S16" s="321"/>
      <c r="T16" s="322"/>
      <c r="U16" s="322"/>
      <c r="V16" s="322"/>
      <c r="W16" s="323"/>
      <c r="X16" s="322"/>
    </row>
    <row r="17" spans="1:24" s="413" customFormat="1" ht="20.25">
      <c r="A17" s="339" t="s">
        <v>125</v>
      </c>
      <c r="B17" s="325">
        <v>13030000</v>
      </c>
      <c r="C17" s="3">
        <f>C18</f>
        <v>32.8</v>
      </c>
      <c r="D17" s="3">
        <f>D18</f>
        <v>11</v>
      </c>
      <c r="E17" s="25">
        <f t="shared" si="13"/>
        <v>13.3</v>
      </c>
      <c r="F17" s="25">
        <f t="shared" si="0"/>
        <v>220.9090909090909</v>
      </c>
      <c r="G17" s="3">
        <f aca="true" t="shared" si="15" ref="G17:L17">G18</f>
        <v>20</v>
      </c>
      <c r="H17" s="3">
        <f t="shared" si="15"/>
        <v>11.7</v>
      </c>
      <c r="I17" s="3">
        <f t="shared" si="15"/>
        <v>11.666666666666668</v>
      </c>
      <c r="J17" s="3">
        <f t="shared" si="15"/>
        <v>6.7</v>
      </c>
      <c r="K17" s="3">
        <f t="shared" si="15"/>
        <v>6.7</v>
      </c>
      <c r="L17" s="3">
        <f t="shared" si="15"/>
        <v>24.3</v>
      </c>
      <c r="M17" s="3" t="e">
        <f>L17-#REF!</f>
        <v>#REF!</v>
      </c>
      <c r="N17" s="25">
        <f t="shared" si="2"/>
        <v>121.50000000000001</v>
      </c>
      <c r="O17" s="25">
        <f aca="true" t="shared" si="16" ref="O17:O81">L17/I17*100</f>
        <v>208.28571428571428</v>
      </c>
      <c r="P17" s="25">
        <f aca="true" t="shared" si="17" ref="P17:P81">L17/K17*100</f>
        <v>362.6865671641791</v>
      </c>
      <c r="Q17" s="25">
        <f t="shared" si="5"/>
        <v>12.633333333333333</v>
      </c>
      <c r="R17" s="25">
        <f t="shared" si="6"/>
        <v>17.6</v>
      </c>
      <c r="S17" s="321">
        <f>L17/$L$62*100</f>
        <v>0.002680346179642268</v>
      </c>
      <c r="T17" s="322">
        <f>L17-K17-R17</f>
        <v>0</v>
      </c>
      <c r="U17" s="322">
        <f t="shared" si="7"/>
        <v>0</v>
      </c>
      <c r="V17" s="322">
        <f t="shared" si="8"/>
        <v>0</v>
      </c>
      <c r="W17" s="323">
        <f t="shared" si="10"/>
        <v>0.03333333333333144</v>
      </c>
      <c r="X17" s="322">
        <f t="shared" si="11"/>
        <v>0</v>
      </c>
    </row>
    <row r="18" spans="1:24" s="415" customFormat="1" ht="47.25">
      <c r="A18" s="343" t="s">
        <v>126</v>
      </c>
      <c r="B18" s="344">
        <v>13030200</v>
      </c>
      <c r="C18" s="8">
        <v>32.8</v>
      </c>
      <c r="D18" s="8">
        <v>11</v>
      </c>
      <c r="E18" s="36">
        <f t="shared" si="13"/>
        <v>13.3</v>
      </c>
      <c r="F18" s="25">
        <f t="shared" si="0"/>
        <v>220.9090909090909</v>
      </c>
      <c r="G18" s="8">
        <v>20</v>
      </c>
      <c r="H18" s="3">
        <f>ROUND(G18*$T$6,1)</f>
        <v>11.7</v>
      </c>
      <c r="I18" s="485">
        <f>G18/12*6+G18/12*22/22</f>
        <v>11.666666666666668</v>
      </c>
      <c r="J18" s="8">
        <v>6.7</v>
      </c>
      <c r="K18" s="8">
        <v>6.7</v>
      </c>
      <c r="L18" s="8">
        <v>24.3</v>
      </c>
      <c r="M18" s="3" t="e">
        <f>L18-#REF!</f>
        <v>#REF!</v>
      </c>
      <c r="N18" s="36">
        <f t="shared" si="2"/>
        <v>121.50000000000001</v>
      </c>
      <c r="O18" s="36">
        <f t="shared" si="16"/>
        <v>208.28571428571428</v>
      </c>
      <c r="P18" s="36">
        <f t="shared" si="17"/>
        <v>362.6865671641791</v>
      </c>
      <c r="Q18" s="36">
        <f t="shared" si="5"/>
        <v>12.633333333333333</v>
      </c>
      <c r="R18" s="36">
        <f t="shared" si="6"/>
        <v>17.6</v>
      </c>
      <c r="S18" s="321">
        <f>L18/$L$62*100</f>
        <v>0.002680346179642268</v>
      </c>
      <c r="T18" s="322">
        <f>L18-K18-R18</f>
        <v>0</v>
      </c>
      <c r="U18" s="322">
        <f t="shared" si="7"/>
        <v>0</v>
      </c>
      <c r="V18" s="322">
        <f t="shared" si="8"/>
        <v>0</v>
      </c>
      <c r="W18" s="323">
        <f t="shared" si="10"/>
        <v>0.03333333333333144</v>
      </c>
      <c r="X18" s="322">
        <f t="shared" si="11"/>
        <v>0</v>
      </c>
    </row>
    <row r="19" spans="1:24" s="416" customFormat="1" ht="20.25">
      <c r="A19" s="328" t="s">
        <v>130</v>
      </c>
      <c r="B19" s="320">
        <v>14000000</v>
      </c>
      <c r="C19" s="9">
        <f>C22+C20+C21</f>
        <v>126731.30000000002</v>
      </c>
      <c r="D19" s="9">
        <f>D22+D20+D21</f>
        <v>64227.59999999999</v>
      </c>
      <c r="E19" s="6">
        <f t="shared" si="13"/>
        <v>5016.60000000002</v>
      </c>
      <c r="F19" s="6">
        <f t="shared" si="0"/>
        <v>107.81066083739704</v>
      </c>
      <c r="G19" s="9">
        <f aca="true" t="shared" si="18" ref="G19:L19">G22+G20+G21</f>
        <v>145802.80000000002</v>
      </c>
      <c r="H19" s="9">
        <f t="shared" si="18"/>
        <v>85051.6</v>
      </c>
      <c r="I19" s="483">
        <f t="shared" si="18"/>
        <v>85051.63333333335</v>
      </c>
      <c r="J19" s="9">
        <f t="shared" si="18"/>
        <v>74436.2</v>
      </c>
      <c r="K19" s="9">
        <f t="shared" si="18"/>
        <v>74436.2</v>
      </c>
      <c r="L19" s="9">
        <f t="shared" si="18"/>
        <v>69244.20000000001</v>
      </c>
      <c r="M19" s="9" t="e">
        <f>L19-#REF!</f>
        <v>#REF!</v>
      </c>
      <c r="N19" s="6">
        <f t="shared" si="2"/>
        <v>47.491680543857875</v>
      </c>
      <c r="O19" s="6">
        <f t="shared" si="16"/>
        <v>81.41430950375634</v>
      </c>
      <c r="P19" s="6">
        <f t="shared" si="17"/>
        <v>93.02489917540123</v>
      </c>
      <c r="Q19" s="6">
        <f t="shared" si="5"/>
        <v>-15807.433333333334</v>
      </c>
      <c r="R19" s="6">
        <f t="shared" si="6"/>
        <v>-5191.999999999985</v>
      </c>
      <c r="S19" s="321">
        <f>L19/$L$62*100</f>
        <v>7.637795347011736</v>
      </c>
      <c r="T19" s="322">
        <f>L19-K19-R19</f>
        <v>0</v>
      </c>
      <c r="U19" s="322">
        <f t="shared" si="7"/>
        <v>0</v>
      </c>
      <c r="V19" s="322">
        <f t="shared" si="8"/>
        <v>0</v>
      </c>
      <c r="W19" s="323">
        <f t="shared" si="10"/>
        <v>-0.03333333334012423</v>
      </c>
      <c r="X19" s="322">
        <f t="shared" si="11"/>
        <v>0</v>
      </c>
    </row>
    <row r="20" spans="1:24" s="414" customFormat="1" ht="31.5">
      <c r="A20" s="342" t="s">
        <v>288</v>
      </c>
      <c r="B20" s="325">
        <v>14021900</v>
      </c>
      <c r="C20" s="3">
        <v>11281.3</v>
      </c>
      <c r="D20" s="3">
        <v>4863.7</v>
      </c>
      <c r="E20" s="25">
        <f>L20-D20</f>
        <v>892.6000000000004</v>
      </c>
      <c r="F20" s="25">
        <f>L20/D20*100</f>
        <v>118.35228324115386</v>
      </c>
      <c r="G20" s="3">
        <f>11200+753.6</f>
        <v>11953.6</v>
      </c>
      <c r="H20" s="3">
        <f>ROUND(G20*$T$6,1)</f>
        <v>6972.9</v>
      </c>
      <c r="I20" s="485">
        <f>G20/12*6+G20/12*22/22</f>
        <v>6972.933333333333</v>
      </c>
      <c r="J20" s="3">
        <v>5582.2</v>
      </c>
      <c r="K20" s="3">
        <v>5582.2</v>
      </c>
      <c r="L20" s="3">
        <v>5756.3</v>
      </c>
      <c r="M20" s="3" t="e">
        <f>L20-#REF!</f>
        <v>#REF!</v>
      </c>
      <c r="N20" s="25">
        <f t="shared" si="2"/>
        <v>48.155367420693345</v>
      </c>
      <c r="O20" s="25">
        <f t="shared" si="16"/>
        <v>82.55205843547431</v>
      </c>
      <c r="P20" s="25">
        <f t="shared" si="17"/>
        <v>103.11884203360684</v>
      </c>
      <c r="Q20" s="25">
        <f t="shared" si="5"/>
        <v>-1216.6333333333332</v>
      </c>
      <c r="R20" s="25">
        <f t="shared" si="6"/>
        <v>174.10000000000036</v>
      </c>
      <c r="S20" s="347"/>
      <c r="T20" s="348"/>
      <c r="U20" s="348"/>
      <c r="V20" s="348"/>
      <c r="W20" s="323">
        <f t="shared" si="10"/>
        <v>-0.033333333333757764</v>
      </c>
      <c r="X20" s="322">
        <f t="shared" si="11"/>
        <v>0</v>
      </c>
    </row>
    <row r="21" spans="1:24" s="414" customFormat="1" ht="31.5">
      <c r="A21" s="342" t="s">
        <v>289</v>
      </c>
      <c r="B21" s="325">
        <v>14031900</v>
      </c>
      <c r="C21" s="3">
        <v>43686.4</v>
      </c>
      <c r="D21" s="3">
        <v>17821.8</v>
      </c>
      <c r="E21" s="25">
        <f>L21-D21</f>
        <v>3661.2000000000007</v>
      </c>
      <c r="F21" s="25">
        <f>L21/D21*100</f>
        <v>120.54337945662054</v>
      </c>
      <c r="G21" s="3">
        <f>44320+1932.3</f>
        <v>46252.3</v>
      </c>
      <c r="H21" s="3">
        <f>ROUND(G21*$T$6,1)</f>
        <v>26980.5</v>
      </c>
      <c r="I21" s="485">
        <f>G21/12*6+G21/12*22/22</f>
        <v>26980.508333333335</v>
      </c>
      <c r="J21" s="3">
        <v>21402.5</v>
      </c>
      <c r="K21" s="3">
        <v>21402.5</v>
      </c>
      <c r="L21" s="3">
        <v>21483</v>
      </c>
      <c r="M21" s="3" t="e">
        <f>L21-#REF!</f>
        <v>#REF!</v>
      </c>
      <c r="N21" s="25">
        <f t="shared" si="2"/>
        <v>46.44741991209085</v>
      </c>
      <c r="O21" s="25">
        <f t="shared" si="16"/>
        <v>79.62414842072718</v>
      </c>
      <c r="P21" s="25">
        <f t="shared" si="17"/>
        <v>100.37612428454621</v>
      </c>
      <c r="Q21" s="25">
        <f t="shared" si="5"/>
        <v>-5497.508333333335</v>
      </c>
      <c r="R21" s="25">
        <f t="shared" si="6"/>
        <v>80.5</v>
      </c>
      <c r="S21" s="347"/>
      <c r="T21" s="348"/>
      <c r="U21" s="348"/>
      <c r="V21" s="348"/>
      <c r="W21" s="323">
        <f t="shared" si="10"/>
        <v>-0.008333333335031057</v>
      </c>
      <c r="X21" s="322">
        <f t="shared" si="11"/>
        <v>0</v>
      </c>
    </row>
    <row r="22" spans="1:24" s="413" customFormat="1" ht="47.25">
      <c r="A22" s="339" t="s">
        <v>131</v>
      </c>
      <c r="B22" s="325">
        <v>14040000</v>
      </c>
      <c r="C22" s="3">
        <v>71763.6</v>
      </c>
      <c r="D22" s="3">
        <v>41542.1</v>
      </c>
      <c r="E22" s="25">
        <f t="shared" si="13"/>
        <v>462.8000000000029</v>
      </c>
      <c r="F22" s="25">
        <f t="shared" si="0"/>
        <v>101.11405056557084</v>
      </c>
      <c r="G22" s="3">
        <f>90282.8-2685.9</f>
        <v>87596.90000000001</v>
      </c>
      <c r="H22" s="3">
        <f>ROUND(G22*$T$6,1)</f>
        <v>51098.2</v>
      </c>
      <c r="I22" s="485">
        <f>G22/12*6+G22/12*22/22</f>
        <v>51098.19166666667</v>
      </c>
      <c r="J22" s="3">
        <v>47451.5</v>
      </c>
      <c r="K22" s="3">
        <v>47451.5</v>
      </c>
      <c r="L22" s="3">
        <v>42004.9</v>
      </c>
      <c r="M22" s="3" t="e">
        <f>L22-#REF!</f>
        <v>#REF!</v>
      </c>
      <c r="N22" s="25">
        <f t="shared" si="2"/>
        <v>47.95249603581861</v>
      </c>
      <c r="O22" s="25">
        <f t="shared" si="16"/>
        <v>82.2042789185462</v>
      </c>
      <c r="P22" s="25">
        <f t="shared" si="17"/>
        <v>88.52175379071262</v>
      </c>
      <c r="Q22" s="25">
        <f t="shared" si="5"/>
        <v>-9093.291666666672</v>
      </c>
      <c r="R22" s="25">
        <f t="shared" si="6"/>
        <v>-5446.5999999999985</v>
      </c>
      <c r="S22" s="321">
        <f aca="true" t="shared" si="19" ref="S22:S37">L22/$L$62*100</f>
        <v>4.633237581944671</v>
      </c>
      <c r="T22" s="322">
        <f aca="true" t="shared" si="20" ref="T22:T33">L22-K22-R22</f>
        <v>0</v>
      </c>
      <c r="U22" s="322">
        <f aca="true" t="shared" si="21" ref="U22:U64">L22/G22*100-N22</f>
        <v>0</v>
      </c>
      <c r="V22" s="322">
        <f aca="true" t="shared" si="22" ref="V22:V64">L22/I22*100-O22</f>
        <v>0</v>
      </c>
      <c r="W22" s="323">
        <f t="shared" si="10"/>
        <v>0.00833333332411712</v>
      </c>
      <c r="X22" s="322">
        <f t="shared" si="11"/>
        <v>0</v>
      </c>
    </row>
    <row r="23" spans="1:24" s="416" customFormat="1" ht="17.25" customHeight="1">
      <c r="A23" s="327" t="s">
        <v>127</v>
      </c>
      <c r="B23" s="320">
        <v>18000000</v>
      </c>
      <c r="C23" s="9">
        <f>SUM(C24:C30)-C24</f>
        <v>323360</v>
      </c>
      <c r="D23" s="9">
        <f>SUM(D24:D30)-D24</f>
        <v>184986.39999999997</v>
      </c>
      <c r="E23" s="6">
        <f t="shared" si="13"/>
        <v>20762.399999999994</v>
      </c>
      <c r="F23" s="6">
        <f t="shared" si="0"/>
        <v>111.2237440157763</v>
      </c>
      <c r="G23" s="9">
        <f aca="true" t="shared" si="23" ref="G23:L23">SUM(G24:G30)-G24</f>
        <v>355847.5</v>
      </c>
      <c r="H23" s="9">
        <f t="shared" si="23"/>
        <v>207577.73333333334</v>
      </c>
      <c r="I23" s="483">
        <f t="shared" si="23"/>
        <v>207577.70833333326</v>
      </c>
      <c r="J23" s="9">
        <f t="shared" si="23"/>
        <v>203721.99999999994</v>
      </c>
      <c r="K23" s="9">
        <f t="shared" si="23"/>
        <v>203721.99999999994</v>
      </c>
      <c r="L23" s="9">
        <f t="shared" si="23"/>
        <v>205748.79999999996</v>
      </c>
      <c r="M23" s="9" t="e">
        <f>L23-#REF!</f>
        <v>#REF!</v>
      </c>
      <c r="N23" s="6">
        <f t="shared" si="2"/>
        <v>57.81937487266314</v>
      </c>
      <c r="O23" s="6">
        <f t="shared" si="16"/>
        <v>99.11892835313685</v>
      </c>
      <c r="P23" s="6">
        <f t="shared" si="17"/>
        <v>100.99488518667596</v>
      </c>
      <c r="Q23" s="6">
        <f t="shared" si="5"/>
        <v>-1828.9083333332965</v>
      </c>
      <c r="R23" s="6">
        <f t="shared" si="6"/>
        <v>2026.8000000000175</v>
      </c>
      <c r="S23" s="321">
        <f t="shared" si="19"/>
        <v>22.694568314649423</v>
      </c>
      <c r="T23" s="322">
        <f t="shared" si="20"/>
        <v>0</v>
      </c>
      <c r="U23" s="322">
        <f t="shared" si="21"/>
        <v>0</v>
      </c>
      <c r="V23" s="322">
        <f t="shared" si="22"/>
        <v>0</v>
      </c>
      <c r="W23" s="323">
        <f t="shared" si="10"/>
        <v>0.025000000081490725</v>
      </c>
      <c r="X23" s="322">
        <f t="shared" si="11"/>
        <v>0</v>
      </c>
    </row>
    <row r="24" spans="1:24" s="413" customFormat="1" ht="29.25" customHeight="1">
      <c r="A24" s="339" t="s">
        <v>132</v>
      </c>
      <c r="B24" s="325">
        <v>18010000</v>
      </c>
      <c r="C24" s="3">
        <f>C25+C26+C27</f>
        <v>170575.5</v>
      </c>
      <c r="D24" s="3">
        <f>D25+D26+D27</f>
        <v>99177.7</v>
      </c>
      <c r="E24" s="25">
        <f t="shared" si="13"/>
        <v>5120.499999999985</v>
      </c>
      <c r="F24" s="25">
        <f t="shared" si="0"/>
        <v>105.16295497879058</v>
      </c>
      <c r="G24" s="3">
        <f aca="true" t="shared" si="24" ref="G24:L24">G25+G26+G27</f>
        <v>173466</v>
      </c>
      <c r="H24" s="3">
        <f t="shared" si="24"/>
        <v>101188.53333333333</v>
      </c>
      <c r="I24" s="456">
        <f t="shared" si="24"/>
        <v>101188.5</v>
      </c>
      <c r="J24" s="3">
        <f t="shared" si="24"/>
        <v>101084.49999999999</v>
      </c>
      <c r="K24" s="3">
        <f t="shared" si="24"/>
        <v>101084.49999999999</v>
      </c>
      <c r="L24" s="3">
        <f t="shared" si="24"/>
        <v>104298.19999999998</v>
      </c>
      <c r="M24" s="3" t="e">
        <f>L24-#REF!</f>
        <v>#REF!</v>
      </c>
      <c r="N24" s="25">
        <f t="shared" si="2"/>
        <v>60.12601893166383</v>
      </c>
      <c r="O24" s="25">
        <f t="shared" si="16"/>
        <v>103.07317531142371</v>
      </c>
      <c r="P24" s="25">
        <f t="shared" si="17"/>
        <v>103.1792213445187</v>
      </c>
      <c r="Q24" s="25">
        <f t="shared" si="5"/>
        <v>3109.6999999999825</v>
      </c>
      <c r="R24" s="25">
        <f t="shared" si="6"/>
        <v>3213.699999999997</v>
      </c>
      <c r="S24" s="321">
        <f t="shared" si="19"/>
        <v>11.504332589035604</v>
      </c>
      <c r="T24" s="322">
        <f t="shared" si="20"/>
        <v>0</v>
      </c>
      <c r="U24" s="322">
        <f t="shared" si="21"/>
        <v>0</v>
      </c>
      <c r="V24" s="322">
        <f t="shared" si="22"/>
        <v>0</v>
      </c>
      <c r="W24" s="323">
        <f t="shared" si="10"/>
        <v>0.03333333332557231</v>
      </c>
      <c r="X24" s="322">
        <f t="shared" si="11"/>
        <v>0</v>
      </c>
    </row>
    <row r="25" spans="1:24" s="413" customFormat="1" ht="71.25" customHeight="1">
      <c r="A25" s="339" t="s">
        <v>133</v>
      </c>
      <c r="B25" s="346" t="s">
        <v>298</v>
      </c>
      <c r="C25" s="3">
        <v>6769.3</v>
      </c>
      <c r="D25" s="3">
        <v>3929.2</v>
      </c>
      <c r="E25" s="25">
        <f t="shared" si="13"/>
        <v>1386.1999999999998</v>
      </c>
      <c r="F25" s="25">
        <f t="shared" si="0"/>
        <v>135.27944619769926</v>
      </c>
      <c r="G25" s="3">
        <v>7637.4</v>
      </c>
      <c r="H25" s="3">
        <f>G25/12*7</f>
        <v>4455.15</v>
      </c>
      <c r="I25" s="7">
        <f aca="true" t="shared" si="25" ref="I25:I30">G25/12*6+G25/12*22/22</f>
        <v>4455.15</v>
      </c>
      <c r="J25" s="3">
        <v>4486.9</v>
      </c>
      <c r="K25" s="3">
        <v>4486.9</v>
      </c>
      <c r="L25" s="3">
        <v>5315.4</v>
      </c>
      <c r="M25" s="3" t="e">
        <f>L25-#REF!</f>
        <v>#REF!</v>
      </c>
      <c r="N25" s="25">
        <f t="shared" si="2"/>
        <v>69.59698326655668</v>
      </c>
      <c r="O25" s="25">
        <f t="shared" si="16"/>
        <v>119.30911417124004</v>
      </c>
      <c r="P25" s="25">
        <f t="shared" si="17"/>
        <v>118.46486438298156</v>
      </c>
      <c r="Q25" s="25">
        <f t="shared" si="5"/>
        <v>860.25</v>
      </c>
      <c r="R25" s="25">
        <f t="shared" si="6"/>
        <v>828.5</v>
      </c>
      <c r="S25" s="321">
        <f t="shared" si="19"/>
        <v>0.5863009087765643</v>
      </c>
      <c r="T25" s="322">
        <f t="shared" si="20"/>
        <v>0</v>
      </c>
      <c r="U25" s="322">
        <f t="shared" si="21"/>
        <v>0</v>
      </c>
      <c r="V25" s="322">
        <f t="shared" si="22"/>
        <v>0</v>
      </c>
      <c r="W25" s="323">
        <f t="shared" si="10"/>
        <v>0</v>
      </c>
      <c r="X25" s="322">
        <f t="shared" si="11"/>
        <v>0</v>
      </c>
    </row>
    <row r="26" spans="1:24" s="413" customFormat="1" ht="67.5" customHeight="1">
      <c r="A26" s="339" t="s">
        <v>134</v>
      </c>
      <c r="B26" s="325" t="s">
        <v>135</v>
      </c>
      <c r="C26" s="3">
        <v>162473.1</v>
      </c>
      <c r="D26" s="456">
        <v>94597.5</v>
      </c>
      <c r="E26" s="25">
        <f t="shared" si="13"/>
        <v>3666.899999999994</v>
      </c>
      <c r="F26" s="25">
        <f t="shared" si="0"/>
        <v>103.87631808451596</v>
      </c>
      <c r="G26" s="3">
        <v>164908.6</v>
      </c>
      <c r="H26" s="3">
        <f>G26/12*7</f>
        <v>96196.68333333333</v>
      </c>
      <c r="I26" s="7">
        <f t="shared" si="25"/>
        <v>96196.68333333333</v>
      </c>
      <c r="J26" s="3">
        <v>96146.2</v>
      </c>
      <c r="K26" s="3">
        <v>96146.2</v>
      </c>
      <c r="L26" s="3">
        <v>98264.4</v>
      </c>
      <c r="M26" s="3" t="e">
        <f>L26-#REF!</f>
        <v>#REF!</v>
      </c>
      <c r="N26" s="25">
        <f t="shared" si="2"/>
        <v>59.587189509825436</v>
      </c>
      <c r="O26" s="25">
        <f t="shared" si="16"/>
        <v>102.14946773112932</v>
      </c>
      <c r="P26" s="25">
        <f t="shared" si="17"/>
        <v>102.20310319076573</v>
      </c>
      <c r="Q26" s="25">
        <f t="shared" si="5"/>
        <v>2067.71666666666</v>
      </c>
      <c r="R26" s="25">
        <f t="shared" si="6"/>
        <v>2118.199999999997</v>
      </c>
      <c r="S26" s="321">
        <f t="shared" si="19"/>
        <v>10.838790499376119</v>
      </c>
      <c r="T26" s="322">
        <f t="shared" si="20"/>
        <v>0</v>
      </c>
      <c r="U26" s="322">
        <f t="shared" si="21"/>
        <v>0</v>
      </c>
      <c r="V26" s="322">
        <f t="shared" si="22"/>
        <v>0</v>
      </c>
      <c r="W26" s="323">
        <f t="shared" si="10"/>
        <v>0</v>
      </c>
      <c r="X26" s="322">
        <f t="shared" si="11"/>
        <v>0</v>
      </c>
    </row>
    <row r="27" spans="1:24" s="413" customFormat="1" ht="30.75" customHeight="1">
      <c r="A27" s="339" t="s">
        <v>361</v>
      </c>
      <c r="B27" s="325" t="s">
        <v>362</v>
      </c>
      <c r="C27" s="3">
        <v>1333.1</v>
      </c>
      <c r="D27" s="3">
        <v>651</v>
      </c>
      <c r="E27" s="25">
        <f t="shared" si="13"/>
        <v>67.39999999999998</v>
      </c>
      <c r="F27" s="25">
        <f t="shared" si="0"/>
        <v>110.35330261136713</v>
      </c>
      <c r="G27" s="3">
        <v>920</v>
      </c>
      <c r="H27" s="3">
        <f>ROUND(G27*$T$6,1)</f>
        <v>536.7</v>
      </c>
      <c r="I27" s="7">
        <f t="shared" si="25"/>
        <v>536.6666666666666</v>
      </c>
      <c r="J27" s="3">
        <v>451.4</v>
      </c>
      <c r="K27" s="3">
        <v>451.4</v>
      </c>
      <c r="L27" s="3">
        <v>718.4</v>
      </c>
      <c r="M27" s="3" t="e">
        <f>L27-#REF!</f>
        <v>#REF!</v>
      </c>
      <c r="N27" s="25">
        <f t="shared" si="2"/>
        <v>78.08695652173913</v>
      </c>
      <c r="O27" s="25">
        <f t="shared" si="16"/>
        <v>133.86335403726707</v>
      </c>
      <c r="P27" s="25">
        <f t="shared" si="17"/>
        <v>159.1493132476739</v>
      </c>
      <c r="Q27" s="25">
        <f t="shared" si="5"/>
        <v>181.73333333333335</v>
      </c>
      <c r="R27" s="25">
        <f t="shared" si="6"/>
        <v>267</v>
      </c>
      <c r="S27" s="321">
        <f t="shared" si="19"/>
        <v>0.07924118088292204</v>
      </c>
      <c r="T27" s="322">
        <f t="shared" si="20"/>
        <v>0</v>
      </c>
      <c r="U27" s="322">
        <f t="shared" si="21"/>
        <v>0</v>
      </c>
      <c r="V27" s="322">
        <f t="shared" si="22"/>
        <v>0</v>
      </c>
      <c r="W27" s="323">
        <f t="shared" si="10"/>
        <v>0.033333333333416704</v>
      </c>
      <c r="X27" s="322">
        <f t="shared" si="11"/>
        <v>0</v>
      </c>
    </row>
    <row r="28" spans="1:24" s="413" customFormat="1" ht="20.25" customHeight="1">
      <c r="A28" s="339" t="s">
        <v>74</v>
      </c>
      <c r="B28" s="325">
        <v>18030000</v>
      </c>
      <c r="C28" s="3">
        <v>188.9</v>
      </c>
      <c r="D28" s="3">
        <v>118.8</v>
      </c>
      <c r="E28" s="25">
        <f t="shared" si="13"/>
        <v>27.60000000000001</v>
      </c>
      <c r="F28" s="25">
        <f t="shared" si="0"/>
        <v>123.23232323232325</v>
      </c>
      <c r="G28" s="3">
        <v>200</v>
      </c>
      <c r="H28" s="3">
        <f>ROUND(G28*$T$6,1)</f>
        <v>116.7</v>
      </c>
      <c r="I28" s="7">
        <f t="shared" si="25"/>
        <v>116.66666666666667</v>
      </c>
      <c r="J28" s="3">
        <v>125.8</v>
      </c>
      <c r="K28" s="3">
        <v>125.8</v>
      </c>
      <c r="L28" s="3">
        <v>146.4</v>
      </c>
      <c r="M28" s="3" t="e">
        <f>L28-#REF!</f>
        <v>#REF!</v>
      </c>
      <c r="N28" s="25">
        <f t="shared" si="2"/>
        <v>73.2</v>
      </c>
      <c r="O28" s="25">
        <f t="shared" si="16"/>
        <v>125.4857142857143</v>
      </c>
      <c r="P28" s="25">
        <f t="shared" si="17"/>
        <v>116.3751987281399</v>
      </c>
      <c r="Q28" s="25">
        <f t="shared" si="5"/>
        <v>29.733333333333334</v>
      </c>
      <c r="R28" s="25">
        <f t="shared" si="6"/>
        <v>20.60000000000001</v>
      </c>
      <c r="S28" s="321">
        <f t="shared" si="19"/>
        <v>0.01614825846500527</v>
      </c>
      <c r="T28" s="322">
        <f t="shared" si="20"/>
        <v>0</v>
      </c>
      <c r="U28" s="322">
        <f t="shared" si="21"/>
        <v>0</v>
      </c>
      <c r="V28" s="322">
        <f t="shared" si="22"/>
        <v>0</v>
      </c>
      <c r="W28" s="323">
        <f t="shared" si="10"/>
        <v>0.03333333333333144</v>
      </c>
      <c r="X28" s="322">
        <f t="shared" si="11"/>
        <v>0</v>
      </c>
    </row>
    <row r="29" spans="1:24" s="413" customFormat="1" ht="47.25">
      <c r="A29" s="339" t="s">
        <v>128</v>
      </c>
      <c r="B29" s="325" t="s">
        <v>75</v>
      </c>
      <c r="C29" s="3">
        <v>-44.9</v>
      </c>
      <c r="D29" s="3">
        <v>-32.2</v>
      </c>
      <c r="E29" s="25">
        <f t="shared" si="13"/>
        <v>17.200000000000003</v>
      </c>
      <c r="F29" s="25">
        <f t="shared" si="0"/>
        <v>46.58385093167701</v>
      </c>
      <c r="G29" s="3"/>
      <c r="H29" s="3">
        <f>ROUND(G29*$T$6,1)</f>
        <v>0</v>
      </c>
      <c r="I29" s="3">
        <f t="shared" si="25"/>
        <v>0</v>
      </c>
      <c r="J29" s="3"/>
      <c r="K29" s="3"/>
      <c r="L29" s="3">
        <v>-15</v>
      </c>
      <c r="M29" s="3" t="e">
        <f>L29-#REF!</f>
        <v>#REF!</v>
      </c>
      <c r="N29" s="14" t="e">
        <f t="shared" si="2"/>
        <v>#DIV/0!</v>
      </c>
      <c r="O29" s="14" t="e">
        <f t="shared" si="16"/>
        <v>#DIV/0!</v>
      </c>
      <c r="P29" s="14" t="e">
        <f t="shared" si="17"/>
        <v>#DIV/0!</v>
      </c>
      <c r="Q29" s="25">
        <f t="shared" si="5"/>
        <v>-15</v>
      </c>
      <c r="R29" s="25">
        <f t="shared" si="6"/>
        <v>-15</v>
      </c>
      <c r="S29" s="321">
        <f t="shared" si="19"/>
        <v>-0.0016545346787915237</v>
      </c>
      <c r="T29" s="322">
        <f t="shared" si="20"/>
        <v>0</v>
      </c>
      <c r="U29" s="322" t="e">
        <f t="shared" si="21"/>
        <v>#DIV/0!</v>
      </c>
      <c r="V29" s="322" t="e">
        <f t="shared" si="22"/>
        <v>#DIV/0!</v>
      </c>
      <c r="W29" s="323">
        <f t="shared" si="10"/>
        <v>0</v>
      </c>
      <c r="X29" s="322">
        <f t="shared" si="11"/>
        <v>0</v>
      </c>
    </row>
    <row r="30" spans="1:24" s="413" customFormat="1" ht="24.75" customHeight="1">
      <c r="A30" s="339" t="s">
        <v>136</v>
      </c>
      <c r="B30" s="325">
        <v>18050000</v>
      </c>
      <c r="C30" s="3">
        <v>152640.5</v>
      </c>
      <c r="D30" s="3">
        <v>85722.1</v>
      </c>
      <c r="E30" s="25">
        <f t="shared" si="13"/>
        <v>15597.099999999991</v>
      </c>
      <c r="F30" s="25">
        <f t="shared" si="0"/>
        <v>118.19495789300541</v>
      </c>
      <c r="G30" s="3">
        <v>182181.5</v>
      </c>
      <c r="H30" s="3">
        <f>ROUND(G30*$T$6,1)</f>
        <v>106272.5</v>
      </c>
      <c r="I30" s="7">
        <f t="shared" si="25"/>
        <v>106272.54166666666</v>
      </c>
      <c r="J30" s="3">
        <v>102511.7</v>
      </c>
      <c r="K30" s="3">
        <v>102511.7</v>
      </c>
      <c r="L30" s="3">
        <v>101319.2</v>
      </c>
      <c r="M30" s="3" t="e">
        <f>L30-#REF!</f>
        <v>#REF!</v>
      </c>
      <c r="N30" s="25">
        <f t="shared" si="2"/>
        <v>55.61442846831319</v>
      </c>
      <c r="O30" s="25">
        <f t="shared" si="16"/>
        <v>95.33902023139406</v>
      </c>
      <c r="P30" s="25">
        <f t="shared" si="17"/>
        <v>98.8367181502209</v>
      </c>
      <c r="Q30" s="25">
        <f t="shared" si="5"/>
        <v>-4953.34166666666</v>
      </c>
      <c r="R30" s="25">
        <f t="shared" si="6"/>
        <v>-1192.5</v>
      </c>
      <c r="S30" s="321">
        <f t="shared" si="19"/>
        <v>11.175742001827608</v>
      </c>
      <c r="T30" s="322">
        <f t="shared" si="20"/>
        <v>0</v>
      </c>
      <c r="U30" s="322">
        <f t="shared" si="21"/>
        <v>0</v>
      </c>
      <c r="V30" s="322">
        <f t="shared" si="22"/>
        <v>0</v>
      </c>
      <c r="W30" s="323">
        <f t="shared" si="10"/>
        <v>-0.04166666665696539</v>
      </c>
      <c r="X30" s="322">
        <f t="shared" si="11"/>
        <v>0</v>
      </c>
    </row>
    <row r="31" spans="1:24" s="416" customFormat="1" ht="23.25" customHeight="1">
      <c r="A31" s="328" t="s">
        <v>77</v>
      </c>
      <c r="B31" s="320">
        <v>20000000</v>
      </c>
      <c r="C31" s="9">
        <f>C32+C42+C51</f>
        <v>79359.79999999999</v>
      </c>
      <c r="D31" s="9">
        <f>D32+D42+D51</f>
        <v>43265.2</v>
      </c>
      <c r="E31" s="6">
        <f t="shared" si="13"/>
        <v>-3759.1888899999976</v>
      </c>
      <c r="F31" s="6">
        <f t="shared" si="0"/>
        <v>91.31128738570492</v>
      </c>
      <c r="G31" s="9">
        <f aca="true" t="shared" si="26" ref="G31:L31">G32+G42+G51</f>
        <v>55744.600000000006</v>
      </c>
      <c r="H31" s="9">
        <f t="shared" si="26"/>
        <v>32517.683333333334</v>
      </c>
      <c r="I31" s="9">
        <f t="shared" si="26"/>
        <v>32517.683333333334</v>
      </c>
      <c r="J31" s="483">
        <f t="shared" si="26"/>
        <v>32842.5</v>
      </c>
      <c r="K31" s="483">
        <f t="shared" si="26"/>
        <v>32842.5</v>
      </c>
      <c r="L31" s="9">
        <f t="shared" si="26"/>
        <v>39506.01111</v>
      </c>
      <c r="M31" s="9" t="e">
        <f>L31-#REF!</f>
        <v>#REF!</v>
      </c>
      <c r="N31" s="9">
        <f t="shared" si="2"/>
        <v>70.8696647029488</v>
      </c>
      <c r="O31" s="6">
        <f t="shared" si="16"/>
        <v>121.49085377648365</v>
      </c>
      <c r="P31" s="9">
        <f t="shared" si="17"/>
        <v>120.28929317195707</v>
      </c>
      <c r="Q31" s="6">
        <f t="shared" si="5"/>
        <v>6988.327776666665</v>
      </c>
      <c r="R31" s="6">
        <f t="shared" si="6"/>
        <v>6663.5111099999995</v>
      </c>
      <c r="S31" s="321">
        <f t="shared" si="19"/>
        <v>4.357604360147881</v>
      </c>
      <c r="T31" s="322">
        <f t="shared" si="20"/>
        <v>0</v>
      </c>
      <c r="U31" s="322">
        <f t="shared" si="21"/>
        <v>0</v>
      </c>
      <c r="V31" s="322">
        <f t="shared" si="22"/>
        <v>0</v>
      </c>
      <c r="W31" s="323">
        <f t="shared" si="10"/>
        <v>0</v>
      </c>
      <c r="X31" s="322">
        <f t="shared" si="11"/>
        <v>0</v>
      </c>
    </row>
    <row r="32" spans="1:24" s="416" customFormat="1" ht="31.5">
      <c r="A32" s="328" t="s">
        <v>78</v>
      </c>
      <c r="B32" s="320">
        <v>21000000</v>
      </c>
      <c r="C32" s="9">
        <f>C35+C36+C33</f>
        <v>38180.09999999999</v>
      </c>
      <c r="D32" s="9">
        <f>D35+D36+D33</f>
        <v>21107.199999999997</v>
      </c>
      <c r="E32" s="6">
        <f t="shared" si="13"/>
        <v>-9276.699999999997</v>
      </c>
      <c r="F32" s="6">
        <f t="shared" si="0"/>
        <v>56.049594451182536</v>
      </c>
      <c r="G32" s="9">
        <f aca="true" t="shared" si="27" ref="G32:L32">G35+G36+G33</f>
        <v>10195.8</v>
      </c>
      <c r="H32" s="483">
        <f t="shared" si="27"/>
        <v>5947.55</v>
      </c>
      <c r="I32" s="483">
        <f t="shared" si="27"/>
        <v>5947.549999999999</v>
      </c>
      <c r="J32" s="9">
        <f t="shared" si="27"/>
        <v>7572.9</v>
      </c>
      <c r="K32" s="9">
        <f t="shared" si="27"/>
        <v>7572.9</v>
      </c>
      <c r="L32" s="9">
        <f t="shared" si="27"/>
        <v>11830.5</v>
      </c>
      <c r="M32" s="9" t="e">
        <f>L32-#REF!</f>
        <v>#REF!</v>
      </c>
      <c r="N32" s="9">
        <f t="shared" si="2"/>
        <v>116.0330724415936</v>
      </c>
      <c r="O32" s="6">
        <f t="shared" si="16"/>
        <v>198.91383847130334</v>
      </c>
      <c r="P32" s="9">
        <f t="shared" si="17"/>
        <v>156.22152675989383</v>
      </c>
      <c r="Q32" s="6">
        <f t="shared" si="5"/>
        <v>5882.950000000001</v>
      </c>
      <c r="R32" s="6">
        <f t="shared" si="6"/>
        <v>4257.6</v>
      </c>
      <c r="S32" s="321">
        <f t="shared" si="19"/>
        <v>1.3049315011628746</v>
      </c>
      <c r="T32" s="322">
        <f t="shared" si="20"/>
        <v>0</v>
      </c>
      <c r="U32" s="322">
        <f t="shared" si="21"/>
        <v>0</v>
      </c>
      <c r="V32" s="322">
        <f t="shared" si="22"/>
        <v>0</v>
      </c>
      <c r="W32" s="323">
        <f t="shared" si="10"/>
        <v>0</v>
      </c>
      <c r="X32" s="322">
        <f t="shared" si="11"/>
        <v>0</v>
      </c>
    </row>
    <row r="33" spans="1:24" s="413" customFormat="1" ht="110.25">
      <c r="A33" s="342" t="s">
        <v>356</v>
      </c>
      <c r="B33" s="325">
        <v>21010000</v>
      </c>
      <c r="C33" s="3">
        <f>C34</f>
        <v>52.2</v>
      </c>
      <c r="D33" s="3">
        <f>D34</f>
        <v>40.3</v>
      </c>
      <c r="E33" s="25">
        <f t="shared" si="13"/>
        <v>92.8</v>
      </c>
      <c r="F33" s="25">
        <f t="shared" si="0"/>
        <v>330.272952853598</v>
      </c>
      <c r="G33" s="3">
        <f aca="true" t="shared" si="28" ref="G33:L33">G34</f>
        <v>79.4</v>
      </c>
      <c r="H33" s="3">
        <f t="shared" si="28"/>
        <v>46.31666666666667</v>
      </c>
      <c r="I33" s="3">
        <f t="shared" si="28"/>
        <v>46.31666666666667</v>
      </c>
      <c r="J33" s="3">
        <f t="shared" si="28"/>
        <v>61.2</v>
      </c>
      <c r="K33" s="3">
        <f t="shared" si="28"/>
        <v>61.2</v>
      </c>
      <c r="L33" s="3">
        <f t="shared" si="28"/>
        <v>133.1</v>
      </c>
      <c r="M33" s="3" t="e">
        <f>L33-#REF!</f>
        <v>#REF!</v>
      </c>
      <c r="N33" s="3">
        <f t="shared" si="2"/>
        <v>167.63224181360198</v>
      </c>
      <c r="O33" s="25">
        <f t="shared" si="16"/>
        <v>287.3695573947463</v>
      </c>
      <c r="P33" s="3">
        <f t="shared" si="17"/>
        <v>217.48366013071893</v>
      </c>
      <c r="Q33" s="25">
        <f t="shared" si="5"/>
        <v>86.78333333333333</v>
      </c>
      <c r="R33" s="25">
        <f t="shared" si="6"/>
        <v>71.89999999999999</v>
      </c>
      <c r="S33" s="321">
        <f t="shared" si="19"/>
        <v>0.014681237716476786</v>
      </c>
      <c r="T33" s="322">
        <f t="shared" si="20"/>
        <v>0</v>
      </c>
      <c r="U33" s="322">
        <f t="shared" si="21"/>
        <v>0</v>
      </c>
      <c r="V33" s="322">
        <f t="shared" si="22"/>
        <v>0</v>
      </c>
      <c r="W33" s="323">
        <f t="shared" si="10"/>
        <v>0</v>
      </c>
      <c r="X33" s="322">
        <f t="shared" si="11"/>
        <v>0</v>
      </c>
    </row>
    <row r="34" spans="1:24" s="418" customFormat="1" ht="63">
      <c r="A34" s="343" t="s">
        <v>107</v>
      </c>
      <c r="B34" s="344">
        <v>21010300</v>
      </c>
      <c r="C34" s="8">
        <v>52.2</v>
      </c>
      <c r="D34" s="8">
        <v>40.3</v>
      </c>
      <c r="E34" s="36">
        <f t="shared" si="13"/>
        <v>92.8</v>
      </c>
      <c r="F34" s="36">
        <f t="shared" si="0"/>
        <v>330.272952853598</v>
      </c>
      <c r="G34" s="8">
        <v>79.4</v>
      </c>
      <c r="H34" s="3">
        <f>G34/12*7</f>
        <v>46.31666666666667</v>
      </c>
      <c r="I34" s="7">
        <f>G34/12*6+G34/12*22/22</f>
        <v>46.31666666666667</v>
      </c>
      <c r="J34" s="8">
        <v>61.2</v>
      </c>
      <c r="K34" s="8">
        <v>61.2</v>
      </c>
      <c r="L34" s="8">
        <v>133.1</v>
      </c>
      <c r="M34" s="3" t="e">
        <f>L34-#REF!</f>
        <v>#REF!</v>
      </c>
      <c r="N34" s="8">
        <f t="shared" si="2"/>
        <v>167.63224181360198</v>
      </c>
      <c r="O34" s="36">
        <f t="shared" si="16"/>
        <v>287.3695573947463</v>
      </c>
      <c r="P34" s="8">
        <f t="shared" si="17"/>
        <v>217.48366013071893</v>
      </c>
      <c r="Q34" s="36">
        <f t="shared" si="5"/>
        <v>86.78333333333333</v>
      </c>
      <c r="R34" s="36">
        <f t="shared" si="6"/>
        <v>71.89999999999999</v>
      </c>
      <c r="S34" s="321">
        <f t="shared" si="19"/>
        <v>0.014681237716476786</v>
      </c>
      <c r="T34" s="345">
        <f aca="true" t="shared" si="29" ref="T34:T40">G34*6/12+G34*18/(21*12)</f>
        <v>45.371428571428574</v>
      </c>
      <c r="U34" s="322">
        <f t="shared" si="21"/>
        <v>0</v>
      </c>
      <c r="V34" s="322">
        <f t="shared" si="22"/>
        <v>0</v>
      </c>
      <c r="W34" s="323">
        <f t="shared" si="10"/>
        <v>0</v>
      </c>
      <c r="X34" s="322">
        <f t="shared" si="11"/>
        <v>0</v>
      </c>
    </row>
    <row r="35" spans="1:24" s="416" customFormat="1" ht="31.5">
      <c r="A35" s="328" t="s">
        <v>79</v>
      </c>
      <c r="B35" s="320">
        <v>21050000</v>
      </c>
      <c r="C35" s="9">
        <v>37343.7</v>
      </c>
      <c r="D35" s="9">
        <v>20661.3</v>
      </c>
      <c r="E35" s="6">
        <f t="shared" si="13"/>
        <v>-9825.4</v>
      </c>
      <c r="F35" s="6">
        <f t="shared" si="0"/>
        <v>52.4453930778799</v>
      </c>
      <c r="G35" s="9">
        <f>9200+53.8</f>
        <v>9253.8</v>
      </c>
      <c r="H35" s="483">
        <f>G35/12*7</f>
        <v>5398.05</v>
      </c>
      <c r="I35" s="483">
        <f>G35/12*6+G35/12*22/22</f>
        <v>5398.049999999999</v>
      </c>
      <c r="J35" s="9">
        <v>6996.3</v>
      </c>
      <c r="K35" s="9">
        <v>6996.3</v>
      </c>
      <c r="L35" s="9">
        <v>10835.9</v>
      </c>
      <c r="M35" s="9" t="e">
        <f>L35-#REF!</f>
        <v>#REF!</v>
      </c>
      <c r="N35" s="6">
        <f>L35/G35*100</f>
        <v>117.09676024984333</v>
      </c>
      <c r="O35" s="6">
        <f t="shared" si="16"/>
        <v>200.73730328544568</v>
      </c>
      <c r="P35" s="6">
        <f t="shared" si="17"/>
        <v>154.8804368023098</v>
      </c>
      <c r="Q35" s="6">
        <f t="shared" si="5"/>
        <v>5437.85</v>
      </c>
      <c r="R35" s="6">
        <f t="shared" si="6"/>
        <v>3839.5999999999995</v>
      </c>
      <c r="S35" s="321">
        <f t="shared" si="19"/>
        <v>1.1952248217278048</v>
      </c>
      <c r="T35" s="345">
        <f t="shared" si="29"/>
        <v>5287.885714285714</v>
      </c>
      <c r="U35" s="322">
        <f t="shared" si="21"/>
        <v>0</v>
      </c>
      <c r="V35" s="322">
        <f t="shared" si="22"/>
        <v>0</v>
      </c>
      <c r="W35" s="323">
        <f t="shared" si="10"/>
        <v>0</v>
      </c>
      <c r="X35" s="322">
        <f t="shared" si="11"/>
        <v>0</v>
      </c>
    </row>
    <row r="36" spans="1:24" s="413" customFormat="1" ht="23.25" customHeight="1">
      <c r="A36" s="342" t="s">
        <v>80</v>
      </c>
      <c r="B36" s="325">
        <v>21080000</v>
      </c>
      <c r="C36" s="3">
        <f>SUM(C37:C41)</f>
        <v>784.1999999999999</v>
      </c>
      <c r="D36" s="3">
        <f>SUM(D37:D41)</f>
        <v>405.6</v>
      </c>
      <c r="E36" s="25">
        <f t="shared" si="13"/>
        <v>455.9</v>
      </c>
      <c r="F36" s="25">
        <f t="shared" si="0"/>
        <v>212.40138067061142</v>
      </c>
      <c r="G36" s="3">
        <f aca="true" t="shared" si="30" ref="G36:L36">SUM(G37:G41)</f>
        <v>862.6</v>
      </c>
      <c r="H36" s="456">
        <f t="shared" si="30"/>
        <v>503.18333333333334</v>
      </c>
      <c r="I36" s="456">
        <f t="shared" si="30"/>
        <v>503.18333333333334</v>
      </c>
      <c r="J36" s="3">
        <f t="shared" si="30"/>
        <v>515.4</v>
      </c>
      <c r="K36" s="3">
        <f t="shared" si="30"/>
        <v>515.4</v>
      </c>
      <c r="L36" s="3">
        <f t="shared" si="30"/>
        <v>861.5</v>
      </c>
      <c r="M36" s="3" t="e">
        <f>L36-#REF!</f>
        <v>#REF!</v>
      </c>
      <c r="N36" s="3">
        <f t="shared" si="2"/>
        <v>99.87247855321122</v>
      </c>
      <c r="O36" s="25">
        <f t="shared" si="16"/>
        <v>171.20996323407638</v>
      </c>
      <c r="P36" s="3">
        <f t="shared" si="17"/>
        <v>167.15172681412497</v>
      </c>
      <c r="Q36" s="25">
        <f t="shared" si="5"/>
        <v>358.31666666666666</v>
      </c>
      <c r="R36" s="25">
        <f t="shared" si="6"/>
        <v>346.1</v>
      </c>
      <c r="S36" s="321">
        <f t="shared" si="19"/>
        <v>0.09502544171859317</v>
      </c>
      <c r="T36" s="345">
        <f t="shared" si="29"/>
        <v>492.9142857142857</v>
      </c>
      <c r="U36" s="322">
        <f t="shared" si="21"/>
        <v>0</v>
      </c>
      <c r="V36" s="322">
        <f t="shared" si="22"/>
        <v>0</v>
      </c>
      <c r="W36" s="323">
        <f t="shared" si="10"/>
        <v>0</v>
      </c>
      <c r="X36" s="322">
        <f t="shared" si="11"/>
        <v>0</v>
      </c>
    </row>
    <row r="37" spans="1:24" s="419" customFormat="1" ht="20.25" customHeight="1" hidden="1">
      <c r="A37" s="343" t="s">
        <v>80</v>
      </c>
      <c r="B37" s="344">
        <v>21080500</v>
      </c>
      <c r="C37" s="8"/>
      <c r="D37" s="371">
        <v>0</v>
      </c>
      <c r="E37" s="25">
        <f t="shared" si="13"/>
        <v>0</v>
      </c>
      <c r="F37" s="14" t="e">
        <f t="shared" si="0"/>
        <v>#DIV/0!</v>
      </c>
      <c r="G37" s="8"/>
      <c r="H37" s="8">
        <f>ROUND(G37*$T$6,1)</f>
        <v>0</v>
      </c>
      <c r="I37" s="7">
        <f>ROUND((G37*$T$7+G37*$T$8),1)</f>
        <v>0</v>
      </c>
      <c r="J37" s="8">
        <v>0</v>
      </c>
      <c r="K37" s="8">
        <v>0</v>
      </c>
      <c r="L37" s="8"/>
      <c r="M37" s="3" t="e">
        <f>L37-#REF!</f>
        <v>#REF!</v>
      </c>
      <c r="N37" s="14" t="e">
        <f t="shared" si="2"/>
        <v>#DIV/0!</v>
      </c>
      <c r="O37" s="14" t="e">
        <f t="shared" si="16"/>
        <v>#DIV/0!</v>
      </c>
      <c r="P37" s="14" t="e">
        <f t="shared" si="17"/>
        <v>#DIV/0!</v>
      </c>
      <c r="Q37" s="25">
        <f t="shared" si="5"/>
        <v>0</v>
      </c>
      <c r="R37" s="25">
        <f t="shared" si="6"/>
        <v>0</v>
      </c>
      <c r="S37" s="321">
        <f t="shared" si="19"/>
        <v>0</v>
      </c>
      <c r="T37" s="345">
        <f t="shared" si="29"/>
        <v>0</v>
      </c>
      <c r="U37" s="322" t="e">
        <f t="shared" si="21"/>
        <v>#DIV/0!</v>
      </c>
      <c r="V37" s="322" t="e">
        <f t="shared" si="22"/>
        <v>#DIV/0!</v>
      </c>
      <c r="W37" s="323">
        <f t="shared" si="10"/>
        <v>0</v>
      </c>
      <c r="X37" s="322">
        <f t="shared" si="11"/>
        <v>0</v>
      </c>
    </row>
    <row r="38" spans="1:24" s="419" customFormat="1" ht="78.75">
      <c r="A38" s="343" t="s">
        <v>81</v>
      </c>
      <c r="B38" s="344">
        <v>21080900</v>
      </c>
      <c r="C38" s="8"/>
      <c r="D38" s="371"/>
      <c r="E38" s="25">
        <f>L38-D38</f>
        <v>5.6</v>
      </c>
      <c r="F38" s="14" t="e">
        <f>L38/D38*100</f>
        <v>#DIV/0!</v>
      </c>
      <c r="G38" s="8"/>
      <c r="H38" s="8"/>
      <c r="I38" s="7">
        <f>G38/12*6+G38/12*22/22</f>
        <v>0</v>
      </c>
      <c r="J38" s="8"/>
      <c r="K38" s="8"/>
      <c r="L38" s="8">
        <v>5.6</v>
      </c>
      <c r="M38" s="3" t="e">
        <f>L38-#REF!</f>
        <v>#REF!</v>
      </c>
      <c r="N38" s="14" t="e">
        <f>L38/G38*100</f>
        <v>#DIV/0!</v>
      </c>
      <c r="O38" s="14" t="e">
        <f>L38/I38*100</f>
        <v>#DIV/0!</v>
      </c>
      <c r="P38" s="14" t="e">
        <f>L38/K38*100</f>
        <v>#DIV/0!</v>
      </c>
      <c r="Q38" s="25">
        <f>L38-I38</f>
        <v>5.6</v>
      </c>
      <c r="R38" s="25">
        <f>L38-K38</f>
        <v>5.6</v>
      </c>
      <c r="S38" s="321"/>
      <c r="T38" s="345"/>
      <c r="U38" s="322"/>
      <c r="V38" s="322"/>
      <c r="W38" s="323"/>
      <c r="X38" s="322"/>
    </row>
    <row r="39" spans="1:24" s="420" customFormat="1" ht="21">
      <c r="A39" s="343" t="s">
        <v>82</v>
      </c>
      <c r="B39" s="344">
        <v>21081100</v>
      </c>
      <c r="C39" s="8">
        <v>610.3</v>
      </c>
      <c r="D39" s="8">
        <v>312.6</v>
      </c>
      <c r="E39" s="8">
        <f t="shared" si="13"/>
        <v>272.5</v>
      </c>
      <c r="F39" s="8">
        <f t="shared" si="0"/>
        <v>187.17210492642354</v>
      </c>
      <c r="G39" s="3">
        <f>621.5+91.1</f>
        <v>712.6</v>
      </c>
      <c r="H39" s="3">
        <f>G39/12*7</f>
        <v>415.68333333333334</v>
      </c>
      <c r="I39" s="3">
        <f>G39/12*6+G39/12*22/22</f>
        <v>415.68333333333334</v>
      </c>
      <c r="J39" s="3">
        <v>439.4</v>
      </c>
      <c r="K39" s="3">
        <v>439.4</v>
      </c>
      <c r="L39" s="3">
        <v>585.1</v>
      </c>
      <c r="M39" s="3" t="e">
        <f>L39-#REF!</f>
        <v>#REF!</v>
      </c>
      <c r="N39" s="3">
        <f>L39/G39*100</f>
        <v>82.10777434746001</v>
      </c>
      <c r="O39" s="3">
        <f t="shared" si="16"/>
        <v>140.75618459564575</v>
      </c>
      <c r="P39" s="3">
        <f t="shared" si="17"/>
        <v>133.1588529813382</v>
      </c>
      <c r="Q39" s="3">
        <f t="shared" si="5"/>
        <v>169.41666666666669</v>
      </c>
      <c r="R39" s="3">
        <f t="shared" si="6"/>
        <v>145.70000000000005</v>
      </c>
      <c r="S39" s="321">
        <f>L39/$L$62*100</f>
        <v>0.06453788270406137</v>
      </c>
      <c r="T39" s="345">
        <f t="shared" si="29"/>
        <v>407.20000000000005</v>
      </c>
      <c r="U39" s="322">
        <f t="shared" si="21"/>
        <v>0</v>
      </c>
      <c r="V39" s="322">
        <f t="shared" si="22"/>
        <v>0</v>
      </c>
      <c r="W39" s="323">
        <f t="shared" si="10"/>
        <v>0</v>
      </c>
      <c r="X39" s="322">
        <f t="shared" si="11"/>
        <v>0</v>
      </c>
    </row>
    <row r="40" spans="1:24" s="420" customFormat="1" ht="63">
      <c r="A40" s="343" t="s">
        <v>144</v>
      </c>
      <c r="B40" s="344">
        <v>21081500</v>
      </c>
      <c r="C40" s="8">
        <v>173.9</v>
      </c>
      <c r="D40" s="8">
        <v>93</v>
      </c>
      <c r="E40" s="8">
        <f t="shared" si="13"/>
        <v>174.39999999999998</v>
      </c>
      <c r="F40" s="25">
        <f t="shared" si="0"/>
        <v>287.5268817204301</v>
      </c>
      <c r="G40" s="8">
        <v>150</v>
      </c>
      <c r="H40" s="8">
        <f>G40/12*7</f>
        <v>87.5</v>
      </c>
      <c r="I40" s="7">
        <f>G40/12*6+G40/12*22/22</f>
        <v>87.5</v>
      </c>
      <c r="J40" s="8">
        <v>76</v>
      </c>
      <c r="K40" s="8">
        <v>76</v>
      </c>
      <c r="L40" s="8">
        <v>267.4</v>
      </c>
      <c r="M40" s="3" t="e">
        <f>L40-#REF!</f>
        <v>#REF!</v>
      </c>
      <c r="N40" s="36">
        <f t="shared" si="2"/>
        <v>178.26666666666665</v>
      </c>
      <c r="O40" s="25">
        <f t="shared" si="16"/>
        <v>305.59999999999997</v>
      </c>
      <c r="P40" s="36">
        <f t="shared" si="17"/>
        <v>351.84210526315786</v>
      </c>
      <c r="Q40" s="25">
        <f t="shared" si="5"/>
        <v>179.89999999999998</v>
      </c>
      <c r="R40" s="25">
        <f t="shared" si="6"/>
        <v>191.39999999999998</v>
      </c>
      <c r="S40" s="321">
        <f>L40/$L$62*100</f>
        <v>0.02949483820725689</v>
      </c>
      <c r="T40" s="345">
        <f t="shared" si="29"/>
        <v>85.71428571428571</v>
      </c>
      <c r="U40" s="322">
        <f t="shared" si="21"/>
        <v>0</v>
      </c>
      <c r="V40" s="322">
        <f t="shared" si="22"/>
        <v>0</v>
      </c>
      <c r="W40" s="323">
        <f t="shared" si="10"/>
        <v>0</v>
      </c>
      <c r="X40" s="322">
        <f t="shared" si="11"/>
        <v>0</v>
      </c>
    </row>
    <row r="41" spans="1:24" s="420" customFormat="1" ht="21">
      <c r="A41" s="343" t="s">
        <v>21</v>
      </c>
      <c r="B41" s="344">
        <v>21081700</v>
      </c>
      <c r="C41" s="8"/>
      <c r="D41" s="8"/>
      <c r="E41" s="8">
        <f>L41-D41</f>
        <v>3.4</v>
      </c>
      <c r="F41" s="25"/>
      <c r="G41" s="8"/>
      <c r="H41" s="8">
        <f>G41/12*7</f>
        <v>0</v>
      </c>
      <c r="I41" s="7">
        <f>G41/12*6+G41/12*22/22</f>
        <v>0</v>
      </c>
      <c r="J41" s="8"/>
      <c r="K41" s="8"/>
      <c r="L41" s="8">
        <v>3.4</v>
      </c>
      <c r="M41" s="3" t="e">
        <f>L41-#REF!</f>
        <v>#REF!</v>
      </c>
      <c r="N41" s="329" t="e">
        <f>L41/G41*100</f>
        <v>#DIV/0!</v>
      </c>
      <c r="O41" s="256" t="e">
        <f>L41/I41*100</f>
        <v>#DIV/0!</v>
      </c>
      <c r="P41" s="329" t="e">
        <f>L41/K41*100</f>
        <v>#DIV/0!</v>
      </c>
      <c r="Q41" s="25">
        <f>L41-I41</f>
        <v>3.4</v>
      </c>
      <c r="R41" s="25">
        <f>L41-K41</f>
        <v>3.4</v>
      </c>
      <c r="S41" s="321"/>
      <c r="T41" s="345"/>
      <c r="U41" s="322"/>
      <c r="V41" s="322"/>
      <c r="W41" s="323"/>
      <c r="X41" s="322"/>
    </row>
    <row r="42" spans="1:24" s="416" customFormat="1" ht="31.5">
      <c r="A42" s="328" t="s">
        <v>83</v>
      </c>
      <c r="B42" s="320">
        <v>22000000</v>
      </c>
      <c r="C42" s="9">
        <f>C48+C50+C43</f>
        <v>38031.5</v>
      </c>
      <c r="D42" s="9">
        <f>D48+D50+D43</f>
        <v>20522.4</v>
      </c>
      <c r="E42" s="6">
        <f t="shared" si="13"/>
        <v>5774.5999999999985</v>
      </c>
      <c r="F42" s="6">
        <f t="shared" si="0"/>
        <v>128.1380345378708</v>
      </c>
      <c r="G42" s="9">
        <f aca="true" t="shared" si="31" ref="G42:L42">G48+G50+G43</f>
        <v>42948.8</v>
      </c>
      <c r="H42" s="483">
        <f t="shared" si="31"/>
        <v>25053.466666666667</v>
      </c>
      <c r="I42" s="483">
        <f t="shared" si="31"/>
        <v>25053.466666666667</v>
      </c>
      <c r="J42" s="9">
        <f t="shared" si="31"/>
        <v>23895.1</v>
      </c>
      <c r="K42" s="9">
        <f>K48+K50+K43</f>
        <v>23895.1</v>
      </c>
      <c r="L42" s="9">
        <f t="shared" si="31"/>
        <v>26297</v>
      </c>
      <c r="M42" s="9" t="e">
        <f>L42-#REF!</f>
        <v>#REF!</v>
      </c>
      <c r="N42" s="9">
        <f t="shared" si="2"/>
        <v>61.22871884662667</v>
      </c>
      <c r="O42" s="6">
        <f t="shared" si="16"/>
        <v>104.9635180227886</v>
      </c>
      <c r="P42" s="9">
        <f t="shared" si="17"/>
        <v>110.05185163485403</v>
      </c>
      <c r="Q42" s="6">
        <f t="shared" si="5"/>
        <v>1243.5333333333328</v>
      </c>
      <c r="R42" s="6">
        <f t="shared" si="6"/>
        <v>2401.9000000000015</v>
      </c>
      <c r="S42" s="321">
        <f aca="true" t="shared" si="32" ref="S42:S54">L42/$L$62*100</f>
        <v>2.9006198965453796</v>
      </c>
      <c r="T42" s="322">
        <f aca="true" t="shared" si="33" ref="T42:T64">L42-K42-R42</f>
        <v>0</v>
      </c>
      <c r="U42" s="322">
        <f t="shared" si="21"/>
        <v>0</v>
      </c>
      <c r="V42" s="322">
        <f t="shared" si="22"/>
        <v>0</v>
      </c>
      <c r="W42" s="323">
        <f t="shared" si="10"/>
        <v>0</v>
      </c>
      <c r="X42" s="322">
        <f t="shared" si="11"/>
        <v>0</v>
      </c>
    </row>
    <row r="43" spans="1:24" s="413" customFormat="1" ht="20.25">
      <c r="A43" s="342" t="s">
        <v>84</v>
      </c>
      <c r="B43" s="325" t="s">
        <v>85</v>
      </c>
      <c r="C43" s="3">
        <f>C44+C45+C46+C47</f>
        <v>17134.699999999997</v>
      </c>
      <c r="D43" s="3">
        <f>D44+D45+D46+D47</f>
        <v>8691.900000000001</v>
      </c>
      <c r="E43" s="25">
        <f t="shared" si="13"/>
        <v>4884.999999999998</v>
      </c>
      <c r="F43" s="25">
        <f t="shared" si="0"/>
        <v>156.20175105558044</v>
      </c>
      <c r="G43" s="3">
        <f aca="true" t="shared" si="34" ref="G43:L43">G44+G45+G46+G47</f>
        <v>22488.8</v>
      </c>
      <c r="H43" s="3">
        <f t="shared" si="34"/>
        <v>13118.466666666667</v>
      </c>
      <c r="I43" s="3">
        <f t="shared" si="34"/>
        <v>13118.466666666667</v>
      </c>
      <c r="J43" s="3">
        <f t="shared" si="34"/>
        <v>12718.8</v>
      </c>
      <c r="K43" s="3">
        <f t="shared" si="34"/>
        <v>12718.8</v>
      </c>
      <c r="L43" s="3">
        <f t="shared" si="34"/>
        <v>13576.9</v>
      </c>
      <c r="M43" s="3" t="e">
        <f>L43-#REF!</f>
        <v>#REF!</v>
      </c>
      <c r="N43" s="3">
        <f t="shared" si="2"/>
        <v>60.37182953292306</v>
      </c>
      <c r="O43" s="25">
        <f t="shared" si="16"/>
        <v>103.49456491358238</v>
      </c>
      <c r="P43" s="3">
        <f t="shared" si="17"/>
        <v>106.74670566405635</v>
      </c>
      <c r="Q43" s="25">
        <f t="shared" si="5"/>
        <v>458.4333333333325</v>
      </c>
      <c r="R43" s="25">
        <f t="shared" si="6"/>
        <v>858.1000000000004</v>
      </c>
      <c r="S43" s="321">
        <f t="shared" si="32"/>
        <v>1.4975634586989757</v>
      </c>
      <c r="T43" s="322">
        <f t="shared" si="33"/>
        <v>0</v>
      </c>
      <c r="U43" s="322">
        <f t="shared" si="21"/>
        <v>0</v>
      </c>
      <c r="V43" s="322">
        <f t="shared" si="22"/>
        <v>0</v>
      </c>
      <c r="W43" s="323">
        <f t="shared" si="10"/>
        <v>0</v>
      </c>
      <c r="X43" s="322">
        <f t="shared" si="11"/>
        <v>0</v>
      </c>
    </row>
    <row r="44" spans="1:24" s="413" customFormat="1" ht="47.25">
      <c r="A44" s="342" t="s">
        <v>294</v>
      </c>
      <c r="B44" s="325">
        <v>22010300</v>
      </c>
      <c r="C44" s="3">
        <v>671.3</v>
      </c>
      <c r="D44" s="3">
        <v>421.8</v>
      </c>
      <c r="E44" s="25">
        <f t="shared" si="13"/>
        <v>-8.400000000000034</v>
      </c>
      <c r="F44" s="25">
        <f t="shared" si="0"/>
        <v>98.0085348506401</v>
      </c>
      <c r="G44" s="3">
        <v>710</v>
      </c>
      <c r="H44" s="3">
        <f>G44/12*7</f>
        <v>414.16666666666663</v>
      </c>
      <c r="I44" s="7">
        <f>G44/12*6+G44/12*22/22</f>
        <v>414.16666666666663</v>
      </c>
      <c r="J44" s="3">
        <v>372.5</v>
      </c>
      <c r="K44" s="3">
        <v>372.5</v>
      </c>
      <c r="L44" s="3">
        <v>413.4</v>
      </c>
      <c r="M44" s="3" t="e">
        <f>L44-#REF!</f>
        <v>#REF!</v>
      </c>
      <c r="N44" s="3">
        <f t="shared" si="2"/>
        <v>58.225352112676056</v>
      </c>
      <c r="O44" s="25">
        <f t="shared" si="16"/>
        <v>99.8148893360161</v>
      </c>
      <c r="P44" s="3">
        <f t="shared" si="17"/>
        <v>110.97986577181207</v>
      </c>
      <c r="Q44" s="25">
        <f t="shared" si="5"/>
        <v>-0.7666666666666515</v>
      </c>
      <c r="R44" s="25">
        <f t="shared" si="6"/>
        <v>40.89999999999998</v>
      </c>
      <c r="S44" s="321">
        <f t="shared" si="32"/>
        <v>0.045598975747494386</v>
      </c>
      <c r="T44" s="322">
        <f t="shared" si="33"/>
        <v>0</v>
      </c>
      <c r="U44" s="322">
        <f t="shared" si="21"/>
        <v>0</v>
      </c>
      <c r="V44" s="322">
        <f t="shared" si="22"/>
        <v>0</v>
      </c>
      <c r="W44" s="323">
        <f t="shared" si="10"/>
        <v>0</v>
      </c>
      <c r="X44" s="322">
        <f t="shared" si="11"/>
        <v>0</v>
      </c>
    </row>
    <row r="45" spans="1:24" s="417" customFormat="1" ht="31.5">
      <c r="A45" s="343" t="s">
        <v>142</v>
      </c>
      <c r="B45" s="344" t="s">
        <v>143</v>
      </c>
      <c r="C45" s="8">
        <v>15358.4</v>
      </c>
      <c r="D45" s="8">
        <v>7689.7</v>
      </c>
      <c r="E45" s="25">
        <f t="shared" si="13"/>
        <v>4191.3</v>
      </c>
      <c r="F45" s="25">
        <f t="shared" si="0"/>
        <v>154.50537732291247</v>
      </c>
      <c r="G45" s="8">
        <f>18000+2565.8</f>
        <v>20565.8</v>
      </c>
      <c r="H45" s="8">
        <f>G45/12*7</f>
        <v>11996.716666666667</v>
      </c>
      <c r="I45" s="22">
        <f>G45/12*6+G45/12*22/22</f>
        <v>11996.716666666667</v>
      </c>
      <c r="J45" s="8">
        <v>11628.3</v>
      </c>
      <c r="K45" s="8">
        <v>11628.3</v>
      </c>
      <c r="L45" s="8">
        <v>11881</v>
      </c>
      <c r="M45" s="3" t="e">
        <f>L45-#REF!</f>
        <v>#REF!</v>
      </c>
      <c r="N45" s="8">
        <f>L45/G45*100</f>
        <v>57.77066780771961</v>
      </c>
      <c r="O45" s="25">
        <f t="shared" si="16"/>
        <v>99.03543052751932</v>
      </c>
      <c r="P45" s="8">
        <f t="shared" si="17"/>
        <v>102.17314654764668</v>
      </c>
      <c r="Q45" s="25">
        <f t="shared" si="5"/>
        <v>-115.71666666666715</v>
      </c>
      <c r="R45" s="25">
        <f t="shared" si="6"/>
        <v>252.70000000000073</v>
      </c>
      <c r="S45" s="321">
        <f t="shared" si="32"/>
        <v>1.310501767914806</v>
      </c>
      <c r="T45" s="322">
        <f t="shared" si="33"/>
        <v>0</v>
      </c>
      <c r="U45" s="322">
        <f t="shared" si="21"/>
        <v>0</v>
      </c>
      <c r="V45" s="322">
        <f t="shared" si="22"/>
        <v>0</v>
      </c>
      <c r="W45" s="323">
        <f t="shared" si="10"/>
        <v>0</v>
      </c>
      <c r="X45" s="322">
        <f t="shared" si="11"/>
        <v>0</v>
      </c>
    </row>
    <row r="46" spans="1:24" s="417" customFormat="1" ht="47.25">
      <c r="A46" s="343" t="s">
        <v>163</v>
      </c>
      <c r="B46" s="344">
        <v>22012600</v>
      </c>
      <c r="C46" s="8">
        <v>1056</v>
      </c>
      <c r="D46" s="472">
        <v>558.2</v>
      </c>
      <c r="E46" s="25">
        <f t="shared" si="13"/>
        <v>654.2</v>
      </c>
      <c r="F46" s="25">
        <f t="shared" si="0"/>
        <v>217.1981368685059</v>
      </c>
      <c r="G46" s="8">
        <f>1100+70</f>
        <v>1170</v>
      </c>
      <c r="H46" s="8">
        <f>G46/12*7</f>
        <v>682.5</v>
      </c>
      <c r="I46" s="22">
        <f>G46/12*6+G46/12*22/22</f>
        <v>682.5</v>
      </c>
      <c r="J46" s="8">
        <v>695</v>
      </c>
      <c r="K46" s="8">
        <v>695</v>
      </c>
      <c r="L46" s="377">
        <v>1212.4</v>
      </c>
      <c r="M46" s="3" t="e">
        <f>L46-#REF!</f>
        <v>#REF!</v>
      </c>
      <c r="N46" s="8">
        <f>L46/G46*100</f>
        <v>103.62393162393164</v>
      </c>
      <c r="O46" s="25">
        <f t="shared" si="16"/>
        <v>177.64102564102566</v>
      </c>
      <c r="P46" s="8">
        <f t="shared" si="17"/>
        <v>174.44604316546764</v>
      </c>
      <c r="Q46" s="25">
        <f t="shared" si="5"/>
        <v>529.9000000000001</v>
      </c>
      <c r="R46" s="25">
        <f t="shared" si="6"/>
        <v>517.4000000000001</v>
      </c>
      <c r="S46" s="321">
        <f t="shared" si="32"/>
        <v>0.13373052297112287</v>
      </c>
      <c r="T46" s="322">
        <f t="shared" si="33"/>
        <v>0</v>
      </c>
      <c r="U46" s="322">
        <f t="shared" si="21"/>
        <v>0</v>
      </c>
      <c r="V46" s="322">
        <f t="shared" si="22"/>
        <v>0</v>
      </c>
      <c r="W46" s="323">
        <f t="shared" si="10"/>
        <v>0</v>
      </c>
      <c r="X46" s="322">
        <f t="shared" si="11"/>
        <v>0</v>
      </c>
    </row>
    <row r="47" spans="1:24" s="417" customFormat="1" ht="126">
      <c r="A47" s="343" t="s">
        <v>295</v>
      </c>
      <c r="B47" s="344">
        <v>22012900</v>
      </c>
      <c r="C47" s="8">
        <v>49</v>
      </c>
      <c r="D47" s="8">
        <v>22.2</v>
      </c>
      <c r="E47" s="25">
        <f t="shared" si="13"/>
        <v>47.89999999999999</v>
      </c>
      <c r="F47" s="25">
        <f t="shared" si="0"/>
        <v>315.76576576576576</v>
      </c>
      <c r="G47" s="8">
        <v>43</v>
      </c>
      <c r="H47" s="8">
        <f>G47/12*7</f>
        <v>25.083333333333336</v>
      </c>
      <c r="I47" s="7">
        <f>G47/12*6+G47/12*22/22</f>
        <v>25.083333333333336</v>
      </c>
      <c r="J47" s="8">
        <v>23</v>
      </c>
      <c r="K47" s="8">
        <v>23</v>
      </c>
      <c r="L47" s="8">
        <v>70.1</v>
      </c>
      <c r="M47" s="3" t="e">
        <f>L47-#REF!</f>
        <v>#REF!</v>
      </c>
      <c r="N47" s="8">
        <f>L47/G47*100</f>
        <v>163.02325581395348</v>
      </c>
      <c r="O47" s="25">
        <f t="shared" si="16"/>
        <v>279.46843853820593</v>
      </c>
      <c r="P47" s="8">
        <f t="shared" si="17"/>
        <v>304.7826086956522</v>
      </c>
      <c r="Q47" s="25">
        <f t="shared" si="5"/>
        <v>45.01666666666666</v>
      </c>
      <c r="R47" s="25">
        <f t="shared" si="6"/>
        <v>47.099999999999994</v>
      </c>
      <c r="S47" s="321">
        <f t="shared" si="32"/>
        <v>0.007732192065552386</v>
      </c>
      <c r="T47" s="322">
        <f t="shared" si="33"/>
        <v>0</v>
      </c>
      <c r="U47" s="322">
        <f t="shared" si="21"/>
        <v>0</v>
      </c>
      <c r="V47" s="322">
        <f t="shared" si="22"/>
        <v>0</v>
      </c>
      <c r="W47" s="323">
        <f t="shared" si="10"/>
        <v>0</v>
      </c>
      <c r="X47" s="322">
        <f t="shared" si="11"/>
        <v>0</v>
      </c>
    </row>
    <row r="48" spans="1:24" s="413" customFormat="1" ht="47.25">
      <c r="A48" s="342" t="s">
        <v>86</v>
      </c>
      <c r="B48" s="325">
        <v>22080000</v>
      </c>
      <c r="C48" s="3">
        <f>C49</f>
        <v>20434</v>
      </c>
      <c r="D48" s="3">
        <f>D49</f>
        <v>11604.3</v>
      </c>
      <c r="E48" s="25">
        <f t="shared" si="13"/>
        <v>839.2000000000007</v>
      </c>
      <c r="F48" s="25">
        <f t="shared" si="0"/>
        <v>107.23180200442938</v>
      </c>
      <c r="G48" s="3">
        <f aca="true" t="shared" si="35" ref="G48:L48">G49</f>
        <v>20000</v>
      </c>
      <c r="H48" s="3">
        <f t="shared" si="35"/>
        <v>11666.666666666668</v>
      </c>
      <c r="I48" s="3">
        <f t="shared" si="35"/>
        <v>11666.666666666668</v>
      </c>
      <c r="J48" s="3">
        <f t="shared" si="35"/>
        <v>10950</v>
      </c>
      <c r="K48" s="3">
        <f t="shared" si="35"/>
        <v>10950</v>
      </c>
      <c r="L48" s="3">
        <f t="shared" si="35"/>
        <v>12443.5</v>
      </c>
      <c r="M48" s="3" t="e">
        <f>L48-#REF!</f>
        <v>#REF!</v>
      </c>
      <c r="N48" s="3">
        <f aca="true" t="shared" si="36" ref="N48:N96">L48/G48*100</f>
        <v>62.2175</v>
      </c>
      <c r="O48" s="25">
        <f t="shared" si="16"/>
        <v>106.65857142857142</v>
      </c>
      <c r="P48" s="3">
        <f t="shared" si="17"/>
        <v>113.63926940639269</v>
      </c>
      <c r="Q48" s="25">
        <f t="shared" si="5"/>
        <v>776.8333333333321</v>
      </c>
      <c r="R48" s="25">
        <f t="shared" si="6"/>
        <v>1493.5</v>
      </c>
      <c r="S48" s="321">
        <f t="shared" si="32"/>
        <v>1.3725468183694882</v>
      </c>
      <c r="T48" s="322">
        <f t="shared" si="33"/>
        <v>0</v>
      </c>
      <c r="U48" s="322">
        <f t="shared" si="21"/>
        <v>0</v>
      </c>
      <c r="V48" s="322">
        <f t="shared" si="22"/>
        <v>0</v>
      </c>
      <c r="W48" s="323">
        <f t="shared" si="10"/>
        <v>0</v>
      </c>
      <c r="X48" s="322">
        <f t="shared" si="11"/>
        <v>0</v>
      </c>
    </row>
    <row r="49" spans="1:24" s="418" customFormat="1" ht="63">
      <c r="A49" s="343" t="s">
        <v>87</v>
      </c>
      <c r="B49" s="344">
        <v>22080401</v>
      </c>
      <c r="C49" s="8">
        <v>20434</v>
      </c>
      <c r="D49" s="3">
        <v>11604.3</v>
      </c>
      <c r="E49" s="25">
        <f t="shared" si="13"/>
        <v>839.2000000000007</v>
      </c>
      <c r="F49" s="25">
        <f t="shared" si="0"/>
        <v>107.23180200442938</v>
      </c>
      <c r="G49" s="8">
        <v>20000</v>
      </c>
      <c r="H49" s="3">
        <f>G49/12*7</f>
        <v>11666.666666666668</v>
      </c>
      <c r="I49" s="22">
        <f>G49/12*6+G49/12*22/22</f>
        <v>11666.666666666668</v>
      </c>
      <c r="J49" s="8">
        <v>10950</v>
      </c>
      <c r="K49" s="8">
        <v>10950</v>
      </c>
      <c r="L49" s="8">
        <v>12443.5</v>
      </c>
      <c r="M49" s="3" t="e">
        <f>L49-#REF!</f>
        <v>#REF!</v>
      </c>
      <c r="N49" s="36">
        <f t="shared" si="36"/>
        <v>62.2175</v>
      </c>
      <c r="O49" s="25">
        <f t="shared" si="16"/>
        <v>106.65857142857142</v>
      </c>
      <c r="P49" s="36">
        <f t="shared" si="17"/>
        <v>113.63926940639269</v>
      </c>
      <c r="Q49" s="25">
        <f t="shared" si="5"/>
        <v>776.8333333333321</v>
      </c>
      <c r="R49" s="25">
        <f t="shared" si="6"/>
        <v>1493.5</v>
      </c>
      <c r="S49" s="321">
        <f t="shared" si="32"/>
        <v>1.3725468183694882</v>
      </c>
      <c r="T49" s="322">
        <f t="shared" si="33"/>
        <v>0</v>
      </c>
      <c r="U49" s="322">
        <f t="shared" si="21"/>
        <v>0</v>
      </c>
      <c r="V49" s="322">
        <f t="shared" si="22"/>
        <v>0</v>
      </c>
      <c r="W49" s="323">
        <f t="shared" si="10"/>
        <v>0</v>
      </c>
      <c r="X49" s="322">
        <f t="shared" si="11"/>
        <v>0</v>
      </c>
    </row>
    <row r="50" spans="1:24" s="413" customFormat="1" ht="22.5" customHeight="1">
      <c r="A50" s="339" t="s">
        <v>88</v>
      </c>
      <c r="B50" s="325">
        <v>22090000</v>
      </c>
      <c r="C50" s="3">
        <v>462.8</v>
      </c>
      <c r="D50" s="3">
        <v>226.2</v>
      </c>
      <c r="E50" s="25">
        <f t="shared" si="13"/>
        <v>50.400000000000034</v>
      </c>
      <c r="F50" s="25">
        <f t="shared" si="0"/>
        <v>122.28116710875334</v>
      </c>
      <c r="G50" s="3">
        <v>460</v>
      </c>
      <c r="H50" s="3">
        <f>G50/12*7</f>
        <v>268.33333333333337</v>
      </c>
      <c r="I50" s="7">
        <f>G50/12*6+G50/12*22/22</f>
        <v>268.3333333333333</v>
      </c>
      <c r="J50" s="3">
        <v>226.3</v>
      </c>
      <c r="K50" s="3">
        <v>226.3</v>
      </c>
      <c r="L50" s="3">
        <v>276.6</v>
      </c>
      <c r="M50" s="3" t="e">
        <f>L50-#REF!</f>
        <v>#REF!</v>
      </c>
      <c r="N50" s="25">
        <f t="shared" si="36"/>
        <v>60.1304347826087</v>
      </c>
      <c r="O50" s="25">
        <f t="shared" si="16"/>
        <v>103.08074534161493</v>
      </c>
      <c r="P50" s="25">
        <f t="shared" si="17"/>
        <v>122.22713212549714</v>
      </c>
      <c r="Q50" s="25">
        <f t="shared" si="5"/>
        <v>8.266666666666708</v>
      </c>
      <c r="R50" s="25">
        <f t="shared" si="6"/>
        <v>50.30000000000001</v>
      </c>
      <c r="S50" s="321">
        <f t="shared" si="32"/>
        <v>0.030509619476915696</v>
      </c>
      <c r="T50" s="322">
        <f t="shared" si="33"/>
        <v>0</v>
      </c>
      <c r="U50" s="322">
        <f t="shared" si="21"/>
        <v>0</v>
      </c>
      <c r="V50" s="322">
        <f t="shared" si="22"/>
        <v>0</v>
      </c>
      <c r="W50" s="323">
        <f t="shared" si="10"/>
        <v>0</v>
      </c>
      <c r="X50" s="322">
        <f t="shared" si="11"/>
        <v>0</v>
      </c>
    </row>
    <row r="51" spans="1:24" s="416" customFormat="1" ht="21" customHeight="1">
      <c r="A51" s="328" t="s">
        <v>89</v>
      </c>
      <c r="B51" s="320">
        <v>24000000</v>
      </c>
      <c r="C51" s="9">
        <f>SUM(C52:C56)</f>
        <v>3148.2000000000003</v>
      </c>
      <c r="D51" s="9">
        <f>SUM(D52:D56)</f>
        <v>1635.6</v>
      </c>
      <c r="E51" s="6">
        <f t="shared" si="13"/>
        <v>-257.08888999999976</v>
      </c>
      <c r="F51" s="6">
        <f t="shared" si="0"/>
        <v>84.28167706040598</v>
      </c>
      <c r="G51" s="9">
        <f aca="true" t="shared" si="37" ref="G51:L51">SUM(G52:G56)</f>
        <v>2600</v>
      </c>
      <c r="H51" s="483">
        <f t="shared" si="37"/>
        <v>1516.6666666666665</v>
      </c>
      <c r="I51" s="483">
        <f t="shared" si="37"/>
        <v>1516.6666666666665</v>
      </c>
      <c r="J51" s="9">
        <f t="shared" si="37"/>
        <v>1374.5</v>
      </c>
      <c r="K51" s="9">
        <f t="shared" si="37"/>
        <v>1374.5</v>
      </c>
      <c r="L51" s="9">
        <f t="shared" si="37"/>
        <v>1378.5111100000001</v>
      </c>
      <c r="M51" s="9" t="e">
        <f>L51-#REF!</f>
        <v>#REF!</v>
      </c>
      <c r="N51" s="9">
        <f t="shared" si="36"/>
        <v>53.01965807692308</v>
      </c>
      <c r="O51" s="6">
        <f t="shared" si="16"/>
        <v>90.89084241758243</v>
      </c>
      <c r="P51" s="9">
        <f t="shared" si="17"/>
        <v>100.29182320843944</v>
      </c>
      <c r="Q51" s="6">
        <f t="shared" si="5"/>
        <v>-138.15555666666637</v>
      </c>
      <c r="R51" s="6">
        <f t="shared" si="6"/>
        <v>4.011110000000144</v>
      </c>
      <c r="S51" s="321">
        <f t="shared" si="32"/>
        <v>0.15205296243962646</v>
      </c>
      <c r="T51" s="322">
        <f t="shared" si="33"/>
        <v>0</v>
      </c>
      <c r="U51" s="322">
        <f t="shared" si="21"/>
        <v>0</v>
      </c>
      <c r="V51" s="322">
        <f t="shared" si="22"/>
        <v>0</v>
      </c>
      <c r="W51" s="323">
        <f t="shared" si="10"/>
        <v>0</v>
      </c>
      <c r="X51" s="322">
        <f t="shared" si="11"/>
        <v>0</v>
      </c>
    </row>
    <row r="52" spans="1:24" s="413" customFormat="1" ht="63">
      <c r="A52" s="340" t="s">
        <v>90</v>
      </c>
      <c r="B52" s="325">
        <v>24030000</v>
      </c>
      <c r="C52" s="3">
        <v>0.4</v>
      </c>
      <c r="D52" s="3">
        <v>0.2</v>
      </c>
      <c r="E52" s="25">
        <f t="shared" si="13"/>
        <v>1.7</v>
      </c>
      <c r="F52" s="25">
        <f t="shared" si="0"/>
        <v>949.9999999999998</v>
      </c>
      <c r="G52" s="3"/>
      <c r="H52" s="3">
        <f>ROUND(G52*$T$6,1)</f>
        <v>0</v>
      </c>
      <c r="I52" s="7">
        <f>G52/12*6+G52/12*18/22</f>
        <v>0</v>
      </c>
      <c r="J52" s="3">
        <v>0</v>
      </c>
      <c r="K52" s="3">
        <v>0</v>
      </c>
      <c r="L52" s="3">
        <v>1.9</v>
      </c>
      <c r="M52" s="3" t="e">
        <f>L52-#REF!</f>
        <v>#REF!</v>
      </c>
      <c r="N52" s="256" t="e">
        <f t="shared" si="36"/>
        <v>#DIV/0!</v>
      </c>
      <c r="O52" s="256" t="e">
        <f t="shared" si="16"/>
        <v>#DIV/0!</v>
      </c>
      <c r="P52" s="256" t="e">
        <f t="shared" si="17"/>
        <v>#DIV/0!</v>
      </c>
      <c r="Q52" s="25">
        <f t="shared" si="5"/>
        <v>1.9</v>
      </c>
      <c r="R52" s="25">
        <f t="shared" si="6"/>
        <v>1.9</v>
      </c>
      <c r="S52" s="321">
        <f t="shared" si="32"/>
        <v>0.0002095743926469263</v>
      </c>
      <c r="T52" s="322">
        <f t="shared" si="33"/>
        <v>0</v>
      </c>
      <c r="U52" s="322" t="e">
        <f t="shared" si="21"/>
        <v>#DIV/0!</v>
      </c>
      <c r="V52" s="322" t="e">
        <f t="shared" si="22"/>
        <v>#DIV/0!</v>
      </c>
      <c r="W52" s="323">
        <f t="shared" si="10"/>
        <v>0</v>
      </c>
      <c r="X52" s="322">
        <f t="shared" si="11"/>
        <v>0</v>
      </c>
    </row>
    <row r="53" spans="1:24" s="421" customFormat="1" ht="18.75" customHeight="1">
      <c r="A53" s="340" t="s">
        <v>80</v>
      </c>
      <c r="B53" s="325">
        <v>24060300</v>
      </c>
      <c r="C53" s="3">
        <v>3032.9</v>
      </c>
      <c r="D53" s="3">
        <v>1634.8</v>
      </c>
      <c r="E53" s="25">
        <f t="shared" si="13"/>
        <v>-311.39999999999986</v>
      </c>
      <c r="F53" s="25">
        <f t="shared" si="0"/>
        <v>80.95179838512358</v>
      </c>
      <c r="G53" s="3">
        <v>2600</v>
      </c>
      <c r="H53" s="3">
        <f>G53/12*7</f>
        <v>1516.6666666666665</v>
      </c>
      <c r="I53" s="7">
        <f>G53/12*6+G53/12*22/22</f>
        <v>1516.6666666666665</v>
      </c>
      <c r="J53" s="3">
        <v>1374.5</v>
      </c>
      <c r="K53" s="3">
        <v>1374.5</v>
      </c>
      <c r="L53" s="3">
        <v>1323.4</v>
      </c>
      <c r="M53" s="3" t="e">
        <f>L53-#REF!</f>
        <v>#REF!</v>
      </c>
      <c r="N53" s="25">
        <f t="shared" si="36"/>
        <v>50.9</v>
      </c>
      <c r="O53" s="25">
        <f t="shared" si="16"/>
        <v>87.25714285714287</v>
      </c>
      <c r="P53" s="25">
        <f t="shared" si="17"/>
        <v>96.28228446707895</v>
      </c>
      <c r="Q53" s="25">
        <f t="shared" si="5"/>
        <v>-193.26666666666642</v>
      </c>
      <c r="R53" s="25">
        <f t="shared" si="6"/>
        <v>-51.09999999999991</v>
      </c>
      <c r="S53" s="321">
        <f t="shared" si="32"/>
        <v>0.14597407959418016</v>
      </c>
      <c r="T53" s="322">
        <f t="shared" si="33"/>
        <v>0</v>
      </c>
      <c r="U53" s="322">
        <f t="shared" si="21"/>
        <v>0</v>
      </c>
      <c r="V53" s="322">
        <f t="shared" si="22"/>
        <v>0</v>
      </c>
      <c r="W53" s="323">
        <f t="shared" si="10"/>
        <v>0</v>
      </c>
      <c r="X53" s="322">
        <f t="shared" si="11"/>
        <v>0</v>
      </c>
    </row>
    <row r="54" spans="1:24" s="421" customFormat="1" ht="36.75" customHeight="1">
      <c r="A54" s="340" t="s">
        <v>160</v>
      </c>
      <c r="B54" s="325">
        <v>24060600</v>
      </c>
      <c r="C54" s="3">
        <v>0.6</v>
      </c>
      <c r="D54" s="3">
        <v>0.6</v>
      </c>
      <c r="E54" s="25">
        <f t="shared" si="13"/>
        <v>-0.6</v>
      </c>
      <c r="F54" s="256">
        <f t="shared" si="0"/>
        <v>0</v>
      </c>
      <c r="G54" s="3"/>
      <c r="H54" s="3"/>
      <c r="I54" s="3">
        <f>G54/12*6+G54/12*18/22</f>
        <v>0</v>
      </c>
      <c r="J54" s="3"/>
      <c r="K54" s="3"/>
      <c r="L54" s="3">
        <v>0</v>
      </c>
      <c r="M54" s="3" t="e">
        <f>L54-#REF!</f>
        <v>#REF!</v>
      </c>
      <c r="N54" s="14" t="e">
        <f t="shared" si="36"/>
        <v>#DIV/0!</v>
      </c>
      <c r="O54" s="14" t="e">
        <f t="shared" si="16"/>
        <v>#DIV/0!</v>
      </c>
      <c r="P54" s="14" t="e">
        <f t="shared" si="17"/>
        <v>#DIV/0!</v>
      </c>
      <c r="Q54" s="25">
        <f t="shared" si="5"/>
        <v>0</v>
      </c>
      <c r="R54" s="25">
        <f t="shared" si="6"/>
        <v>0</v>
      </c>
      <c r="S54" s="321">
        <f t="shared" si="32"/>
        <v>0</v>
      </c>
      <c r="T54" s="322">
        <f t="shared" si="33"/>
        <v>0</v>
      </c>
      <c r="U54" s="322" t="e">
        <f t="shared" si="21"/>
        <v>#DIV/0!</v>
      </c>
      <c r="V54" s="322" t="e">
        <f t="shared" si="22"/>
        <v>#DIV/0!</v>
      </c>
      <c r="W54" s="323">
        <f t="shared" si="10"/>
        <v>0</v>
      </c>
      <c r="X54" s="322">
        <f t="shared" si="11"/>
        <v>0</v>
      </c>
    </row>
    <row r="55" spans="1:24" s="421" customFormat="1" ht="78.75">
      <c r="A55" s="340" t="s">
        <v>19</v>
      </c>
      <c r="B55" s="325">
        <v>24061900</v>
      </c>
      <c r="C55" s="3"/>
      <c r="D55" s="3"/>
      <c r="E55" s="25">
        <f>L55-D55</f>
        <v>52.41111</v>
      </c>
      <c r="F55" s="25"/>
      <c r="G55" s="3"/>
      <c r="H55" s="3"/>
      <c r="I55" s="7">
        <f>G55/12*6+G55/12*18/22</f>
        <v>0</v>
      </c>
      <c r="J55" s="3"/>
      <c r="K55" s="3"/>
      <c r="L55" s="3">
        <v>52.41111</v>
      </c>
      <c r="M55" s="3" t="e">
        <f>L55-#REF!</f>
        <v>#REF!</v>
      </c>
      <c r="N55" s="25"/>
      <c r="O55" s="256" t="e">
        <f>L55/I55*100</f>
        <v>#DIV/0!</v>
      </c>
      <c r="P55" s="256" t="e">
        <f>L55/K55*100</f>
        <v>#DIV/0!</v>
      </c>
      <c r="Q55" s="25">
        <f>L55-I55</f>
        <v>52.41111</v>
      </c>
      <c r="R55" s="25">
        <f>L55-K55</f>
        <v>52.41111</v>
      </c>
      <c r="S55" s="321"/>
      <c r="T55" s="322"/>
      <c r="U55" s="322"/>
      <c r="V55" s="322"/>
      <c r="W55" s="323"/>
      <c r="X55" s="322"/>
    </row>
    <row r="56" spans="1:24" s="421" customFormat="1" ht="173.25">
      <c r="A56" s="340" t="s">
        <v>223</v>
      </c>
      <c r="B56" s="325">
        <v>24062200</v>
      </c>
      <c r="C56" s="3">
        <v>114.3</v>
      </c>
      <c r="D56" s="3">
        <v>0</v>
      </c>
      <c r="E56" s="25">
        <f t="shared" si="13"/>
        <v>0.8</v>
      </c>
      <c r="F56" s="256" t="e">
        <f t="shared" si="0"/>
        <v>#DIV/0!</v>
      </c>
      <c r="G56" s="3"/>
      <c r="H56" s="3"/>
      <c r="I56" s="3">
        <f>G56/12*6+G56/12*18/22</f>
        <v>0</v>
      </c>
      <c r="J56" s="3"/>
      <c r="K56" s="3"/>
      <c r="L56" s="3">
        <v>0.8</v>
      </c>
      <c r="M56" s="3" t="e">
        <f>L56-#REF!</f>
        <v>#REF!</v>
      </c>
      <c r="N56" s="14" t="e">
        <f t="shared" si="36"/>
        <v>#DIV/0!</v>
      </c>
      <c r="O56" s="14" t="e">
        <f t="shared" si="16"/>
        <v>#DIV/0!</v>
      </c>
      <c r="P56" s="14" t="e">
        <f t="shared" si="17"/>
        <v>#DIV/0!</v>
      </c>
      <c r="Q56" s="25">
        <f t="shared" si="5"/>
        <v>0.8</v>
      </c>
      <c r="R56" s="25">
        <f t="shared" si="6"/>
        <v>0.8</v>
      </c>
      <c r="S56" s="321">
        <f aca="true" t="shared" si="38" ref="S56:S62">L56/$L$62*100</f>
        <v>8.824184953554793E-05</v>
      </c>
      <c r="T56" s="322">
        <f t="shared" si="33"/>
        <v>0</v>
      </c>
      <c r="U56" s="322" t="e">
        <f t="shared" si="21"/>
        <v>#DIV/0!</v>
      </c>
      <c r="V56" s="322" t="e">
        <f t="shared" si="22"/>
        <v>#DIV/0!</v>
      </c>
      <c r="W56" s="323">
        <f t="shared" si="10"/>
        <v>0</v>
      </c>
      <c r="X56" s="322">
        <f t="shared" si="11"/>
        <v>0</v>
      </c>
    </row>
    <row r="57" spans="1:24" s="422" customFormat="1" ht="18.75" customHeight="1">
      <c r="A57" s="331" t="s">
        <v>92</v>
      </c>
      <c r="B57" s="332">
        <v>30000000</v>
      </c>
      <c r="C57" s="9">
        <f>C58</f>
        <v>8.1</v>
      </c>
      <c r="D57" s="9">
        <f>D58</f>
        <v>4.2</v>
      </c>
      <c r="E57" s="6">
        <f t="shared" si="13"/>
        <v>-0.5</v>
      </c>
      <c r="F57" s="6">
        <f t="shared" si="0"/>
        <v>88.09523809523809</v>
      </c>
      <c r="G57" s="9">
        <f aca="true" t="shared" si="39" ref="G57:L57">G58</f>
        <v>20</v>
      </c>
      <c r="H57" s="9">
        <f t="shared" si="39"/>
        <v>11.666666666666668</v>
      </c>
      <c r="I57" s="9">
        <f t="shared" si="39"/>
        <v>11.666666666666668</v>
      </c>
      <c r="J57" s="9">
        <f t="shared" si="39"/>
        <v>2.3</v>
      </c>
      <c r="K57" s="9">
        <f t="shared" si="39"/>
        <v>2.3</v>
      </c>
      <c r="L57" s="9">
        <f t="shared" si="39"/>
        <v>3.7</v>
      </c>
      <c r="M57" s="9" t="e">
        <f>L57-#REF!</f>
        <v>#REF!</v>
      </c>
      <c r="N57" s="6">
        <f t="shared" si="36"/>
        <v>18.5</v>
      </c>
      <c r="O57" s="6">
        <f t="shared" si="16"/>
        <v>31.71428571428571</v>
      </c>
      <c r="P57" s="6">
        <f t="shared" si="17"/>
        <v>160.86956521739134</v>
      </c>
      <c r="Q57" s="6">
        <f t="shared" si="5"/>
        <v>-7.966666666666668</v>
      </c>
      <c r="R57" s="6">
        <f t="shared" si="6"/>
        <v>1.4000000000000004</v>
      </c>
      <c r="S57" s="321">
        <f t="shared" si="38"/>
        <v>0.0004081185541019091</v>
      </c>
      <c r="T57" s="322">
        <f t="shared" si="33"/>
        <v>0</v>
      </c>
      <c r="U57" s="322">
        <f t="shared" si="21"/>
        <v>0</v>
      </c>
      <c r="V57" s="322">
        <f t="shared" si="22"/>
        <v>0</v>
      </c>
      <c r="W57" s="323">
        <f t="shared" si="10"/>
        <v>0</v>
      </c>
      <c r="X57" s="322">
        <f t="shared" si="11"/>
        <v>0</v>
      </c>
    </row>
    <row r="58" spans="1:24" s="422" customFormat="1" ht="31.5">
      <c r="A58" s="333" t="s">
        <v>93</v>
      </c>
      <c r="B58" s="334">
        <v>31000000</v>
      </c>
      <c r="C58" s="9">
        <f>C61+C60</f>
        <v>8.1</v>
      </c>
      <c r="D58" s="9">
        <f>D61+D60</f>
        <v>4.2</v>
      </c>
      <c r="E58" s="6">
        <f t="shared" si="13"/>
        <v>-0.5</v>
      </c>
      <c r="F58" s="6">
        <f t="shared" si="0"/>
        <v>88.09523809523809</v>
      </c>
      <c r="G58" s="9">
        <f aca="true" t="shared" si="40" ref="G58:L58">G61+G60</f>
        <v>20</v>
      </c>
      <c r="H58" s="9">
        <f t="shared" si="40"/>
        <v>11.666666666666668</v>
      </c>
      <c r="I58" s="9">
        <f t="shared" si="40"/>
        <v>11.666666666666668</v>
      </c>
      <c r="J58" s="9">
        <f t="shared" si="40"/>
        <v>2.3</v>
      </c>
      <c r="K58" s="9">
        <f>K61+K60</f>
        <v>2.3</v>
      </c>
      <c r="L58" s="9">
        <f t="shared" si="40"/>
        <v>3.7</v>
      </c>
      <c r="M58" s="9" t="e">
        <f>L58-#REF!</f>
        <v>#REF!</v>
      </c>
      <c r="N58" s="6">
        <f t="shared" si="36"/>
        <v>18.5</v>
      </c>
      <c r="O58" s="6">
        <f t="shared" si="16"/>
        <v>31.71428571428571</v>
      </c>
      <c r="P58" s="6">
        <f t="shared" si="17"/>
        <v>160.86956521739134</v>
      </c>
      <c r="Q58" s="6">
        <f t="shared" si="5"/>
        <v>-7.966666666666668</v>
      </c>
      <c r="R58" s="6">
        <f t="shared" si="6"/>
        <v>1.4000000000000004</v>
      </c>
      <c r="S58" s="321">
        <f t="shared" si="38"/>
        <v>0.0004081185541019091</v>
      </c>
      <c r="T58" s="322">
        <f t="shared" si="33"/>
        <v>0</v>
      </c>
      <c r="U58" s="322">
        <f t="shared" si="21"/>
        <v>0</v>
      </c>
      <c r="V58" s="322">
        <f t="shared" si="22"/>
        <v>0</v>
      </c>
      <c r="W58" s="323">
        <f t="shared" si="10"/>
        <v>0</v>
      </c>
      <c r="X58" s="322">
        <f t="shared" si="11"/>
        <v>0</v>
      </c>
    </row>
    <row r="59" spans="1:24" s="423" customFormat="1" ht="94.5">
      <c r="A59" s="335" t="s">
        <v>94</v>
      </c>
      <c r="B59" s="325">
        <v>31010000</v>
      </c>
      <c r="C59" s="3">
        <f>C60</f>
        <v>0.9</v>
      </c>
      <c r="D59" s="3">
        <f>D60</f>
        <v>0.8</v>
      </c>
      <c r="E59" s="25">
        <f t="shared" si="13"/>
        <v>-0.8</v>
      </c>
      <c r="F59" s="25">
        <f t="shared" si="0"/>
        <v>0</v>
      </c>
      <c r="G59" s="3">
        <f aca="true" t="shared" si="41" ref="G59:L59">G60</f>
        <v>15</v>
      </c>
      <c r="H59" s="3">
        <f t="shared" si="41"/>
        <v>8.75</v>
      </c>
      <c r="I59" s="3">
        <f t="shared" si="41"/>
        <v>8.75</v>
      </c>
      <c r="J59" s="3">
        <f t="shared" si="41"/>
        <v>0</v>
      </c>
      <c r="K59" s="3">
        <f t="shared" si="41"/>
        <v>0</v>
      </c>
      <c r="L59" s="3">
        <f t="shared" si="41"/>
        <v>0</v>
      </c>
      <c r="M59" s="3" t="e">
        <f>L59-#REF!</f>
        <v>#REF!</v>
      </c>
      <c r="N59" s="25">
        <f t="shared" si="36"/>
        <v>0</v>
      </c>
      <c r="O59" s="25">
        <f t="shared" si="16"/>
        <v>0</v>
      </c>
      <c r="P59" s="256" t="e">
        <f t="shared" si="17"/>
        <v>#DIV/0!</v>
      </c>
      <c r="Q59" s="25">
        <f t="shared" si="5"/>
        <v>-8.75</v>
      </c>
      <c r="R59" s="25">
        <f t="shared" si="6"/>
        <v>0</v>
      </c>
      <c r="S59" s="321">
        <f t="shared" si="38"/>
        <v>0</v>
      </c>
      <c r="T59" s="322">
        <f t="shared" si="33"/>
        <v>0</v>
      </c>
      <c r="U59" s="322">
        <f t="shared" si="21"/>
        <v>0</v>
      </c>
      <c r="V59" s="322">
        <f t="shared" si="22"/>
        <v>0</v>
      </c>
      <c r="W59" s="323">
        <f t="shared" si="10"/>
        <v>0</v>
      </c>
      <c r="X59" s="322">
        <f t="shared" si="11"/>
        <v>0</v>
      </c>
    </row>
    <row r="60" spans="1:24" s="424" customFormat="1" ht="94.5">
      <c r="A60" s="336" t="s">
        <v>95</v>
      </c>
      <c r="B60" s="337">
        <v>31010200</v>
      </c>
      <c r="C60" s="8">
        <v>0.9</v>
      </c>
      <c r="D60" s="8">
        <v>0.8</v>
      </c>
      <c r="E60" s="25">
        <f t="shared" si="13"/>
        <v>-0.8</v>
      </c>
      <c r="F60" s="25">
        <f t="shared" si="0"/>
        <v>0</v>
      </c>
      <c r="G60" s="8">
        <v>15</v>
      </c>
      <c r="H60" s="8">
        <f>G60/12*7</f>
        <v>8.75</v>
      </c>
      <c r="I60" s="7">
        <f>G60/12*6+G60/12*22/22</f>
        <v>8.75</v>
      </c>
      <c r="J60" s="8">
        <v>0</v>
      </c>
      <c r="K60" s="8">
        <v>0</v>
      </c>
      <c r="L60" s="8">
        <v>0</v>
      </c>
      <c r="M60" s="252" t="e">
        <f>L60-#REF!</f>
        <v>#REF!</v>
      </c>
      <c r="N60" s="36">
        <f t="shared" si="36"/>
        <v>0</v>
      </c>
      <c r="O60" s="25">
        <f t="shared" si="16"/>
        <v>0</v>
      </c>
      <c r="P60" s="329" t="e">
        <f t="shared" si="17"/>
        <v>#DIV/0!</v>
      </c>
      <c r="Q60" s="25">
        <f t="shared" si="5"/>
        <v>-8.75</v>
      </c>
      <c r="R60" s="25">
        <f t="shared" si="6"/>
        <v>0</v>
      </c>
      <c r="S60" s="321">
        <f t="shared" si="38"/>
        <v>0</v>
      </c>
      <c r="T60" s="322">
        <f t="shared" si="33"/>
        <v>0</v>
      </c>
      <c r="U60" s="322">
        <f t="shared" si="21"/>
        <v>0</v>
      </c>
      <c r="V60" s="322">
        <f t="shared" si="22"/>
        <v>0</v>
      </c>
      <c r="W60" s="323">
        <f t="shared" si="10"/>
        <v>0</v>
      </c>
      <c r="X60" s="322">
        <f t="shared" si="11"/>
        <v>0</v>
      </c>
    </row>
    <row r="61" spans="1:24" s="423" customFormat="1" ht="31.5">
      <c r="A61" s="335" t="s">
        <v>96</v>
      </c>
      <c r="B61" s="338">
        <v>31020000</v>
      </c>
      <c r="C61" s="3">
        <v>7.2</v>
      </c>
      <c r="D61" s="3">
        <v>3.4</v>
      </c>
      <c r="E61" s="25">
        <f t="shared" si="13"/>
        <v>0.30000000000000027</v>
      </c>
      <c r="F61" s="25">
        <f t="shared" si="0"/>
        <v>108.82352941176472</v>
      </c>
      <c r="G61" s="3">
        <v>5</v>
      </c>
      <c r="H61" s="3">
        <f>G61/12*7</f>
        <v>2.916666666666667</v>
      </c>
      <c r="I61" s="7">
        <f>G61/12*6+G61/12*22/22</f>
        <v>2.916666666666667</v>
      </c>
      <c r="J61" s="3">
        <v>2.3</v>
      </c>
      <c r="K61" s="3">
        <v>2.3</v>
      </c>
      <c r="L61" s="3">
        <v>3.7</v>
      </c>
      <c r="M61" s="3" t="e">
        <f>L61-#REF!</f>
        <v>#REF!</v>
      </c>
      <c r="N61" s="25">
        <f t="shared" si="36"/>
        <v>74</v>
      </c>
      <c r="O61" s="25">
        <f t="shared" si="16"/>
        <v>126.85714285714285</v>
      </c>
      <c r="P61" s="25">
        <f t="shared" si="17"/>
        <v>160.86956521739134</v>
      </c>
      <c r="Q61" s="3">
        <f t="shared" si="5"/>
        <v>0.7833333333333332</v>
      </c>
      <c r="R61" s="3">
        <f t="shared" si="6"/>
        <v>1.4000000000000004</v>
      </c>
      <c r="S61" s="321">
        <f t="shared" si="38"/>
        <v>0.0004081185541019091</v>
      </c>
      <c r="T61" s="322">
        <f t="shared" si="33"/>
        <v>0</v>
      </c>
      <c r="U61" s="322">
        <f t="shared" si="21"/>
        <v>0</v>
      </c>
      <c r="V61" s="322">
        <f t="shared" si="22"/>
        <v>0</v>
      </c>
      <c r="W61" s="323">
        <f t="shared" si="10"/>
        <v>0</v>
      </c>
      <c r="X61" s="322">
        <f t="shared" si="11"/>
        <v>0</v>
      </c>
    </row>
    <row r="62" spans="1:24" s="425" customFormat="1" ht="21" customHeight="1">
      <c r="A62" s="398" t="s">
        <v>97</v>
      </c>
      <c r="B62" s="393"/>
      <c r="C62" s="205">
        <f>C8+C31+C57</f>
        <v>1374374.6</v>
      </c>
      <c r="D62" s="473">
        <f>D8+D31+D57</f>
        <v>745799.0999999999</v>
      </c>
      <c r="E62" s="205">
        <f t="shared" si="13"/>
        <v>160800.21110999992</v>
      </c>
      <c r="F62" s="205">
        <f t="shared" si="0"/>
        <v>121.56079446998527</v>
      </c>
      <c r="G62" s="205">
        <f aca="true" t="shared" si="42" ref="G62:L62">G8+G31+G57</f>
        <v>1591787.6</v>
      </c>
      <c r="H62" s="205">
        <f t="shared" si="42"/>
        <v>928542.7833333332</v>
      </c>
      <c r="I62" s="205">
        <f t="shared" si="42"/>
        <v>928542.7666666666</v>
      </c>
      <c r="J62" s="205">
        <f t="shared" si="42"/>
        <v>861228</v>
      </c>
      <c r="K62" s="205">
        <f t="shared" si="42"/>
        <v>861228</v>
      </c>
      <c r="L62" s="205">
        <f t="shared" si="42"/>
        <v>906599.3111099998</v>
      </c>
      <c r="M62" s="205" t="e">
        <f>L62-#REF!</f>
        <v>#REF!</v>
      </c>
      <c r="N62" s="205">
        <f t="shared" si="36"/>
        <v>56.95479165122279</v>
      </c>
      <c r="O62" s="203">
        <f t="shared" si="16"/>
        <v>97.63678568781053</v>
      </c>
      <c r="P62" s="205">
        <f t="shared" si="17"/>
        <v>105.26821133428079</v>
      </c>
      <c r="Q62" s="203">
        <f t="shared" si="5"/>
        <v>-21943.455556666828</v>
      </c>
      <c r="R62" s="203">
        <f t="shared" si="6"/>
        <v>45371.31110999978</v>
      </c>
      <c r="S62" s="394">
        <f t="shared" si="38"/>
        <v>100</v>
      </c>
      <c r="T62" s="395">
        <f t="shared" si="33"/>
        <v>0</v>
      </c>
      <c r="U62" s="395">
        <f t="shared" si="21"/>
        <v>0</v>
      </c>
      <c r="V62" s="395">
        <f t="shared" si="22"/>
        <v>0</v>
      </c>
      <c r="W62" s="396">
        <f t="shared" si="10"/>
        <v>0.016666666604578495</v>
      </c>
      <c r="X62" s="395">
        <f t="shared" si="11"/>
        <v>0</v>
      </c>
    </row>
    <row r="63" spans="1:24" s="425" customFormat="1" ht="20.25" customHeight="1">
      <c r="A63" s="397" t="s">
        <v>98</v>
      </c>
      <c r="B63" s="393">
        <v>40000000</v>
      </c>
      <c r="C63" s="205">
        <f>C64</f>
        <v>1393975.4</v>
      </c>
      <c r="D63" s="205">
        <f>D64</f>
        <v>904646.6000000001</v>
      </c>
      <c r="E63" s="205">
        <f t="shared" si="13"/>
        <v>198821.00040999986</v>
      </c>
      <c r="F63" s="205">
        <f t="shared" si="0"/>
        <v>121.97775356807838</v>
      </c>
      <c r="G63" s="205">
        <f aca="true" t="shared" si="43" ref="G63:L63">G64</f>
        <v>1690478.7999999998</v>
      </c>
      <c r="H63" s="205">
        <f t="shared" si="43"/>
        <v>986112.6000000001</v>
      </c>
      <c r="I63" s="205">
        <f t="shared" si="43"/>
        <v>986112.6333333334</v>
      </c>
      <c r="J63" s="205">
        <f t="shared" si="43"/>
        <v>1142689.7999999998</v>
      </c>
      <c r="K63" s="205">
        <f t="shared" si="43"/>
        <v>1142689.7999999998</v>
      </c>
      <c r="L63" s="205">
        <f t="shared" si="43"/>
        <v>1103467.60041</v>
      </c>
      <c r="M63" s="205" t="e">
        <f>L63-#REF!</f>
        <v>#REF!</v>
      </c>
      <c r="N63" s="205">
        <f t="shared" si="36"/>
        <v>65.27544743004172</v>
      </c>
      <c r="O63" s="203">
        <f t="shared" si="16"/>
        <v>111.90076702292863</v>
      </c>
      <c r="P63" s="205">
        <f t="shared" si="17"/>
        <v>96.56755494010712</v>
      </c>
      <c r="Q63" s="203">
        <f t="shared" si="5"/>
        <v>117354.96707666654</v>
      </c>
      <c r="R63" s="203">
        <f t="shared" si="6"/>
        <v>-39222.19958999986</v>
      </c>
      <c r="S63" s="394">
        <f>L63-I63-Q63</f>
        <v>0</v>
      </c>
      <c r="T63" s="395">
        <f t="shared" si="33"/>
        <v>0</v>
      </c>
      <c r="U63" s="395">
        <f t="shared" si="21"/>
        <v>0</v>
      </c>
      <c r="V63" s="395">
        <f t="shared" si="22"/>
        <v>0</v>
      </c>
      <c r="W63" s="396">
        <f t="shared" si="10"/>
        <v>-0.03333333332557231</v>
      </c>
      <c r="X63" s="395">
        <f t="shared" si="11"/>
        <v>0</v>
      </c>
    </row>
    <row r="64" spans="1:24" s="416" customFormat="1" ht="32.25" customHeight="1">
      <c r="A64" s="326" t="s">
        <v>99</v>
      </c>
      <c r="B64" s="320">
        <v>41000000</v>
      </c>
      <c r="C64" s="9">
        <f>C72+C70+C65</f>
        <v>1393975.4</v>
      </c>
      <c r="D64" s="9">
        <f>D72+D70+D65</f>
        <v>904646.6000000001</v>
      </c>
      <c r="E64" s="9">
        <f t="shared" si="13"/>
        <v>198821.00040999986</v>
      </c>
      <c r="F64" s="9">
        <f t="shared" si="0"/>
        <v>121.97775356807838</v>
      </c>
      <c r="G64" s="9">
        <f aca="true" t="shared" si="44" ref="G64:L64">G72+G70+G65</f>
        <v>1690478.7999999998</v>
      </c>
      <c r="H64" s="9">
        <f t="shared" si="44"/>
        <v>986112.6000000001</v>
      </c>
      <c r="I64" s="9">
        <f t="shared" si="44"/>
        <v>986112.6333333334</v>
      </c>
      <c r="J64" s="9">
        <f t="shared" si="44"/>
        <v>1142689.7999999998</v>
      </c>
      <c r="K64" s="9">
        <f t="shared" si="44"/>
        <v>1142689.7999999998</v>
      </c>
      <c r="L64" s="9">
        <f t="shared" si="44"/>
        <v>1103467.60041</v>
      </c>
      <c r="M64" s="9" t="e">
        <f>L64-#REF!</f>
        <v>#REF!</v>
      </c>
      <c r="N64" s="9">
        <f t="shared" si="36"/>
        <v>65.27544743004172</v>
      </c>
      <c r="O64" s="6">
        <f t="shared" si="16"/>
        <v>111.90076702292863</v>
      </c>
      <c r="P64" s="9">
        <f t="shared" si="17"/>
        <v>96.56755494010712</v>
      </c>
      <c r="Q64" s="6">
        <f t="shared" si="5"/>
        <v>117354.96707666654</v>
      </c>
      <c r="R64" s="6">
        <f t="shared" si="6"/>
        <v>-39222.19958999986</v>
      </c>
      <c r="S64" s="321">
        <f>L64-I64-Q64</f>
        <v>0</v>
      </c>
      <c r="T64" s="322">
        <f t="shared" si="33"/>
        <v>0</v>
      </c>
      <c r="U64" s="322">
        <f t="shared" si="21"/>
        <v>0</v>
      </c>
      <c r="V64" s="322">
        <f t="shared" si="22"/>
        <v>0</v>
      </c>
      <c r="W64" s="323">
        <f t="shared" si="10"/>
        <v>-0.03333333332557231</v>
      </c>
      <c r="X64" s="322">
        <f t="shared" si="11"/>
        <v>0</v>
      </c>
    </row>
    <row r="65" spans="1:24" s="416" customFormat="1" ht="31.5">
      <c r="A65" s="319" t="s">
        <v>363</v>
      </c>
      <c r="B65" s="320">
        <v>41030000</v>
      </c>
      <c r="C65" s="9">
        <f>C67+C68+C66+C69</f>
        <v>486143.2</v>
      </c>
      <c r="D65" s="9">
        <f>D67+D68+D66+D69</f>
        <v>285890.7</v>
      </c>
      <c r="E65" s="9">
        <f>L65-D65</f>
        <v>34478.79999999999</v>
      </c>
      <c r="F65" s="9">
        <f t="shared" si="0"/>
        <v>112.06013347058858</v>
      </c>
      <c r="G65" s="9">
        <f>G67+G68+G66+G69</f>
        <v>510835</v>
      </c>
      <c r="H65" s="9">
        <f aca="true" t="shared" si="45" ref="H65:M65">H67+H68+H66+H69</f>
        <v>297987.0833333334</v>
      </c>
      <c r="I65" s="9">
        <f t="shared" si="45"/>
        <v>297987.0833333334</v>
      </c>
      <c r="J65" s="483">
        <f t="shared" si="45"/>
        <v>320369.5</v>
      </c>
      <c r="K65" s="483">
        <f t="shared" si="45"/>
        <v>320369.5</v>
      </c>
      <c r="L65" s="9">
        <f t="shared" si="45"/>
        <v>320369.5</v>
      </c>
      <c r="M65" s="9" t="e">
        <f t="shared" si="45"/>
        <v>#REF!</v>
      </c>
      <c r="N65" s="9">
        <f t="shared" si="36"/>
        <v>62.71486879325027</v>
      </c>
      <c r="O65" s="6">
        <f t="shared" si="16"/>
        <v>107.51120364557187</v>
      </c>
      <c r="P65" s="9">
        <f t="shared" si="17"/>
        <v>100</v>
      </c>
      <c r="Q65" s="6">
        <f t="shared" si="5"/>
        <v>22382.416666666628</v>
      </c>
      <c r="R65" s="6">
        <f t="shared" si="6"/>
        <v>0</v>
      </c>
      <c r="S65" s="321"/>
      <c r="T65" s="322"/>
      <c r="U65" s="322"/>
      <c r="V65" s="322"/>
      <c r="W65" s="323"/>
      <c r="X65" s="322"/>
    </row>
    <row r="66" spans="1:24" s="416" customFormat="1" ht="63">
      <c r="A66" s="324" t="s">
        <v>106</v>
      </c>
      <c r="B66" s="325">
        <v>41033800</v>
      </c>
      <c r="C66" s="3">
        <v>330</v>
      </c>
      <c r="D66" s="3">
        <v>264</v>
      </c>
      <c r="E66" s="25">
        <f>L66-D66</f>
        <v>1461</v>
      </c>
      <c r="F66" s="25">
        <f>L66/D66*100</f>
        <v>653.4090909090909</v>
      </c>
      <c r="G66" s="3">
        <v>2300</v>
      </c>
      <c r="H66" s="3">
        <f>G66/12*7</f>
        <v>1341.6666666666665</v>
      </c>
      <c r="I66" s="3">
        <f>G66/12*6+G66/12*22/22</f>
        <v>1341.6666666666665</v>
      </c>
      <c r="J66" s="3">
        <v>1725</v>
      </c>
      <c r="K66" s="3">
        <v>1725</v>
      </c>
      <c r="L66" s="3">
        <v>1725</v>
      </c>
      <c r="M66" s="3" t="e">
        <f>L66-#REF!</f>
        <v>#REF!</v>
      </c>
      <c r="N66" s="3">
        <f>L66/G66*100</f>
        <v>75</v>
      </c>
      <c r="O66" s="25">
        <f>L66/I66*100</f>
        <v>128.57142857142858</v>
      </c>
      <c r="P66" s="3">
        <f>L66/K66*100</f>
        <v>100</v>
      </c>
      <c r="Q66" s="25">
        <f>L66-I66</f>
        <v>383.3333333333335</v>
      </c>
      <c r="R66" s="25">
        <f>L66-K66</f>
        <v>0</v>
      </c>
      <c r="S66" s="321"/>
      <c r="T66" s="322"/>
      <c r="U66" s="322"/>
      <c r="V66" s="322"/>
      <c r="W66" s="452"/>
      <c r="X66" s="322"/>
    </row>
    <row r="67" spans="1:24" s="414" customFormat="1" ht="31.5">
      <c r="A67" s="324" t="s">
        <v>331</v>
      </c>
      <c r="B67" s="325">
        <v>41033900</v>
      </c>
      <c r="C67" s="3">
        <v>224563.9</v>
      </c>
      <c r="D67" s="3">
        <v>147296.7</v>
      </c>
      <c r="E67" s="25">
        <f t="shared" si="13"/>
        <v>22804.699999999983</v>
      </c>
      <c r="F67" s="25">
        <f t="shared" si="0"/>
        <v>115.48215268909621</v>
      </c>
      <c r="G67" s="3">
        <v>259300.6</v>
      </c>
      <c r="H67" s="3">
        <f>G67/12*7</f>
        <v>151258.68333333335</v>
      </c>
      <c r="I67" s="3">
        <f>G67/12*6+G67/12*22/22</f>
        <v>151258.68333333335</v>
      </c>
      <c r="J67" s="3">
        <v>170101.4</v>
      </c>
      <c r="K67" s="3">
        <v>170101.4</v>
      </c>
      <c r="L67" s="3">
        <v>170101.4</v>
      </c>
      <c r="M67" s="3" t="e">
        <f>L67-#REF!</f>
        <v>#REF!</v>
      </c>
      <c r="N67" s="3">
        <f t="shared" si="36"/>
        <v>65.60007959873599</v>
      </c>
      <c r="O67" s="25">
        <f t="shared" si="16"/>
        <v>112.45727931211881</v>
      </c>
      <c r="P67" s="3">
        <f t="shared" si="17"/>
        <v>100</v>
      </c>
      <c r="Q67" s="25">
        <f t="shared" si="5"/>
        <v>18842.716666666645</v>
      </c>
      <c r="R67" s="25">
        <f t="shared" si="6"/>
        <v>0</v>
      </c>
      <c r="S67" s="321"/>
      <c r="T67" s="322"/>
      <c r="U67" s="322"/>
      <c r="V67" s="322"/>
      <c r="W67" s="323"/>
      <c r="X67" s="322"/>
    </row>
    <row r="68" spans="1:24" s="414" customFormat="1" ht="31.5">
      <c r="A68" s="324" t="s">
        <v>332</v>
      </c>
      <c r="B68" s="325">
        <v>41034200</v>
      </c>
      <c r="C68" s="3">
        <v>225757.5</v>
      </c>
      <c r="D68" s="3">
        <v>131681</v>
      </c>
      <c r="E68" s="25">
        <f t="shared" si="13"/>
        <v>13909.100000000006</v>
      </c>
      <c r="F68" s="25">
        <f t="shared" si="0"/>
        <v>110.56272355161336</v>
      </c>
      <c r="G68" s="3">
        <f>213805.6+17888.8</f>
        <v>231694.4</v>
      </c>
      <c r="H68" s="3">
        <f>G68/12*7</f>
        <v>135155.06666666665</v>
      </c>
      <c r="I68" s="3">
        <f>G68/12*6+G68/12*22/22</f>
        <v>135155.06666666665</v>
      </c>
      <c r="J68" s="3">
        <v>145590.1</v>
      </c>
      <c r="K68" s="3">
        <v>145590.1</v>
      </c>
      <c r="L68" s="3">
        <v>145590.1</v>
      </c>
      <c r="M68" s="3" t="e">
        <f>L68-#REF!</f>
        <v>#REF!</v>
      </c>
      <c r="N68" s="3">
        <f t="shared" si="36"/>
        <v>62.837125109627166</v>
      </c>
      <c r="O68" s="25">
        <f t="shared" si="16"/>
        <v>107.72078590221801</v>
      </c>
      <c r="P68" s="3">
        <f t="shared" si="17"/>
        <v>100</v>
      </c>
      <c r="Q68" s="25">
        <f t="shared" si="5"/>
        <v>10435.033333333355</v>
      </c>
      <c r="R68" s="25">
        <f t="shared" si="6"/>
        <v>0</v>
      </c>
      <c r="S68" s="321"/>
      <c r="T68" s="322"/>
      <c r="U68" s="322"/>
      <c r="V68" s="322"/>
      <c r="W68" s="323"/>
      <c r="X68" s="322"/>
    </row>
    <row r="69" spans="1:24" s="463" customFormat="1" ht="50.25" customHeight="1">
      <c r="A69" s="457" t="s">
        <v>157</v>
      </c>
      <c r="B69" s="458">
        <v>41034500</v>
      </c>
      <c r="C69" s="456">
        <v>35491.8</v>
      </c>
      <c r="D69" s="456">
        <v>6649</v>
      </c>
      <c r="E69" s="459">
        <f>L69-D69</f>
        <v>-3696</v>
      </c>
      <c r="F69" s="459">
        <f>L69/D69*100</f>
        <v>44.41269363814108</v>
      </c>
      <c r="G69" s="456">
        <v>17540</v>
      </c>
      <c r="H69" s="3">
        <f>G69/12*7</f>
        <v>10231.666666666668</v>
      </c>
      <c r="I69" s="456">
        <f>G69/12*6+G69/12*22/22</f>
        <v>10231.666666666666</v>
      </c>
      <c r="J69" s="456">
        <v>2953</v>
      </c>
      <c r="K69" s="456">
        <v>2953</v>
      </c>
      <c r="L69" s="456">
        <v>2953</v>
      </c>
      <c r="M69" s="456">
        <f>L69</f>
        <v>2953</v>
      </c>
      <c r="N69" s="456">
        <f>L69/G69*100</f>
        <v>16.83580387685291</v>
      </c>
      <c r="O69" s="459">
        <f>L69/I69*100</f>
        <v>28.86137807460499</v>
      </c>
      <c r="P69" s="456">
        <f>L69/K69*100</f>
        <v>100</v>
      </c>
      <c r="Q69" s="459">
        <f>L69-I69</f>
        <v>-7278.666666666666</v>
      </c>
      <c r="R69" s="459">
        <f>L69-K69</f>
        <v>0</v>
      </c>
      <c r="S69" s="460"/>
      <c r="T69" s="461"/>
      <c r="U69" s="461"/>
      <c r="V69" s="461"/>
      <c r="W69" s="462"/>
      <c r="X69" s="461"/>
    </row>
    <row r="70" spans="1:24" s="416" customFormat="1" ht="31.5">
      <c r="A70" s="319" t="s">
        <v>333</v>
      </c>
      <c r="B70" s="320">
        <v>41040000</v>
      </c>
      <c r="C70" s="9">
        <f>C71</f>
        <v>0</v>
      </c>
      <c r="D70" s="9">
        <f>D71</f>
        <v>0</v>
      </c>
      <c r="E70" s="6">
        <f t="shared" si="13"/>
        <v>1364.7</v>
      </c>
      <c r="F70" s="330" t="e">
        <f t="shared" si="0"/>
        <v>#DIV/0!</v>
      </c>
      <c r="G70" s="9">
        <f aca="true" t="shared" si="46" ref="G70:L70">G71</f>
        <v>2684.6</v>
      </c>
      <c r="H70" s="9">
        <f t="shared" si="46"/>
        <v>1566</v>
      </c>
      <c r="I70" s="9">
        <f t="shared" si="46"/>
        <v>1566.0166666666667</v>
      </c>
      <c r="J70" s="483">
        <f t="shared" si="46"/>
        <v>1364.7</v>
      </c>
      <c r="K70" s="483">
        <f t="shared" si="46"/>
        <v>1364.7</v>
      </c>
      <c r="L70" s="9">
        <f t="shared" si="46"/>
        <v>1364.7</v>
      </c>
      <c r="M70" s="9" t="e">
        <f>L70-#REF!</f>
        <v>#REF!</v>
      </c>
      <c r="N70" s="9">
        <f>L70/G70*100</f>
        <v>50.834388735752064</v>
      </c>
      <c r="O70" s="6">
        <f>L70/I70*100</f>
        <v>87.1446664041464</v>
      </c>
      <c r="P70" s="9">
        <f>L70/K70*100</f>
        <v>100</v>
      </c>
      <c r="Q70" s="6">
        <f>L70-I70</f>
        <v>-201.3166666666666</v>
      </c>
      <c r="R70" s="6">
        <f>L70-K70</f>
        <v>0</v>
      </c>
      <c r="S70" s="321"/>
      <c r="T70" s="322"/>
      <c r="U70" s="322"/>
      <c r="V70" s="322"/>
      <c r="W70" s="323">
        <f>H70-I70</f>
        <v>-0.01666666666665151</v>
      </c>
      <c r="X70" s="322">
        <f>J70-K70</f>
        <v>0</v>
      </c>
    </row>
    <row r="71" spans="1:24" s="414" customFormat="1" ht="78.75">
      <c r="A71" s="324" t="s">
        <v>334</v>
      </c>
      <c r="B71" s="325">
        <v>41040200</v>
      </c>
      <c r="C71" s="3"/>
      <c r="D71" s="3"/>
      <c r="E71" s="25">
        <f t="shared" si="13"/>
        <v>1364.7</v>
      </c>
      <c r="F71" s="256" t="e">
        <f t="shared" si="0"/>
        <v>#DIV/0!</v>
      </c>
      <c r="G71" s="3">
        <v>2684.6</v>
      </c>
      <c r="H71" s="3">
        <f>ROUND(G71*$T$6,1)</f>
        <v>1566</v>
      </c>
      <c r="I71" s="3">
        <f>G71/12*6+G71/12*22/22</f>
        <v>1566.0166666666667</v>
      </c>
      <c r="J71" s="3">
        <v>1364.7</v>
      </c>
      <c r="K71" s="3">
        <v>1364.7</v>
      </c>
      <c r="L71" s="3">
        <v>1364.7</v>
      </c>
      <c r="M71" s="3" t="e">
        <f>L71-#REF!</f>
        <v>#REF!</v>
      </c>
      <c r="N71" s="3">
        <f>L71/G71*100</f>
        <v>50.834388735752064</v>
      </c>
      <c r="O71" s="25">
        <f>L71/I71*100</f>
        <v>87.1446664041464</v>
      </c>
      <c r="P71" s="3">
        <f>L71/K71*100</f>
        <v>100</v>
      </c>
      <c r="Q71" s="25">
        <f>L71-I71</f>
        <v>-201.3166666666666</v>
      </c>
      <c r="R71" s="25">
        <f>L71-K71</f>
        <v>0</v>
      </c>
      <c r="S71" s="321"/>
      <c r="T71" s="322"/>
      <c r="U71" s="322"/>
      <c r="V71" s="322"/>
      <c r="W71" s="323">
        <f>H71-I71</f>
        <v>-0.01666666666665151</v>
      </c>
      <c r="X71" s="322">
        <f>J71-K71</f>
        <v>0</v>
      </c>
    </row>
    <row r="72" spans="1:24" s="416" customFormat="1" ht="31.5">
      <c r="A72" s="328" t="s">
        <v>335</v>
      </c>
      <c r="B72" s="320">
        <v>41050000</v>
      </c>
      <c r="C72" s="9">
        <f>C73+C74+C75+C78+C84+C86+C93+C94+C95+C96+C85</f>
        <v>907832.2</v>
      </c>
      <c r="D72" s="9">
        <f>D73+D74+D75+D78+D84+D86+D93+D94+D95+D96+D79+D112+D85+D76+D77</f>
        <v>618755.9000000001</v>
      </c>
      <c r="E72" s="6">
        <f t="shared" si="13"/>
        <v>162977.50040999975</v>
      </c>
      <c r="F72" s="6">
        <f t="shared" si="0"/>
        <v>126.33954688916901</v>
      </c>
      <c r="G72" s="9">
        <f>G73+G74+G75+G78+G84+G86+G93+G94+G95+G96+G79+G112+G85+G76+G77</f>
        <v>1176959.1999999997</v>
      </c>
      <c r="H72" s="9">
        <f aca="true" t="shared" si="47" ref="H72:M72">H73+H74+H75+H78+H84+H86+H93+H94+H95+H96+H79+H112+H85+H76+H77</f>
        <v>686559.5166666667</v>
      </c>
      <c r="I72" s="9">
        <f t="shared" si="47"/>
        <v>686559.5333333333</v>
      </c>
      <c r="J72" s="483">
        <f t="shared" si="47"/>
        <v>820955.5999999999</v>
      </c>
      <c r="K72" s="483">
        <f t="shared" si="47"/>
        <v>820955.5999999999</v>
      </c>
      <c r="L72" s="9">
        <f t="shared" si="47"/>
        <v>781733.4004099999</v>
      </c>
      <c r="M72" s="9" t="e">
        <f t="shared" si="47"/>
        <v>#REF!</v>
      </c>
      <c r="N72" s="9">
        <f t="shared" si="36"/>
        <v>66.419753582792</v>
      </c>
      <c r="O72" s="6">
        <f t="shared" si="16"/>
        <v>113.86243471335769</v>
      </c>
      <c r="P72" s="9">
        <f t="shared" si="17"/>
        <v>95.22237261186841</v>
      </c>
      <c r="Q72" s="6">
        <f t="shared" si="5"/>
        <v>95173.86707666656</v>
      </c>
      <c r="R72" s="6">
        <f t="shared" si="6"/>
        <v>-39222.199589999975</v>
      </c>
      <c r="S72" s="321">
        <f>L72-I72-Q72</f>
        <v>0</v>
      </c>
      <c r="T72" s="322">
        <f>L72-K72-R72</f>
        <v>0</v>
      </c>
      <c r="U72" s="322">
        <f>L72/G72*100-N72</f>
        <v>0</v>
      </c>
      <c r="V72" s="322">
        <f>L72/I72*100-O72</f>
        <v>0</v>
      </c>
      <c r="W72" s="323">
        <f>H72-I72</f>
        <v>-0.016666666604578495</v>
      </c>
      <c r="X72" s="322">
        <f>J72-K72</f>
        <v>0</v>
      </c>
    </row>
    <row r="73" spans="1:24" s="414" customFormat="1" ht="141.75">
      <c r="A73" s="342" t="s">
        <v>336</v>
      </c>
      <c r="B73" s="325">
        <v>41050100</v>
      </c>
      <c r="C73" s="3">
        <v>583483.1</v>
      </c>
      <c r="D73" s="456">
        <v>433977.2</v>
      </c>
      <c r="E73" s="25">
        <f t="shared" si="13"/>
        <v>151088.7</v>
      </c>
      <c r="F73" s="25">
        <f t="shared" si="0"/>
        <v>134.81489350131758</v>
      </c>
      <c r="G73" s="3">
        <v>772232.1</v>
      </c>
      <c r="H73" s="3">
        <f aca="true" t="shared" si="48" ref="H73:H78">G73/12*7</f>
        <v>450468.725</v>
      </c>
      <c r="I73" s="3">
        <f aca="true" t="shared" si="49" ref="I73:I78">G73/12*6+G73/12*22/22</f>
        <v>450468.725</v>
      </c>
      <c r="J73" s="456">
        <v>585065.9</v>
      </c>
      <c r="K73" s="456">
        <v>585065.9</v>
      </c>
      <c r="L73" s="3">
        <v>585065.9</v>
      </c>
      <c r="M73" s="3" t="e">
        <f>L73-#REF!</f>
        <v>#REF!</v>
      </c>
      <c r="N73" s="3">
        <f t="shared" si="36"/>
        <v>75.76296038457868</v>
      </c>
      <c r="O73" s="25">
        <f t="shared" si="16"/>
        <v>129.87936065927775</v>
      </c>
      <c r="P73" s="3">
        <f t="shared" si="17"/>
        <v>100</v>
      </c>
      <c r="Q73" s="25">
        <f t="shared" si="5"/>
        <v>134597.17500000005</v>
      </c>
      <c r="R73" s="25">
        <f t="shared" si="6"/>
        <v>0</v>
      </c>
      <c r="S73" s="347"/>
      <c r="T73" s="348"/>
      <c r="U73" s="348"/>
      <c r="V73" s="348"/>
      <c r="W73" s="390"/>
      <c r="X73" s="348"/>
    </row>
    <row r="74" spans="1:24" s="414" customFormat="1" ht="78.75">
      <c r="A74" s="342" t="s">
        <v>337</v>
      </c>
      <c r="B74" s="325">
        <v>41050200</v>
      </c>
      <c r="C74" s="3">
        <v>285</v>
      </c>
      <c r="D74" s="3">
        <v>170.4</v>
      </c>
      <c r="E74" s="25">
        <f t="shared" si="13"/>
        <v>39.599999999999994</v>
      </c>
      <c r="F74" s="25">
        <f t="shared" si="0"/>
        <v>123.2394366197183</v>
      </c>
      <c r="G74" s="3">
        <v>375.4</v>
      </c>
      <c r="H74" s="3">
        <f t="shared" si="48"/>
        <v>218.98333333333332</v>
      </c>
      <c r="I74" s="3">
        <f t="shared" si="49"/>
        <v>218.98333333333332</v>
      </c>
      <c r="J74" s="3">
        <v>210</v>
      </c>
      <c r="K74" s="3">
        <v>210</v>
      </c>
      <c r="L74" s="3">
        <v>210</v>
      </c>
      <c r="M74" s="3" t="e">
        <f>L74-#REF!</f>
        <v>#REF!</v>
      </c>
      <c r="N74" s="3">
        <f t="shared" si="36"/>
        <v>55.94033031433139</v>
      </c>
      <c r="O74" s="25">
        <f t="shared" si="16"/>
        <v>95.89770911028236</v>
      </c>
      <c r="P74" s="3">
        <f t="shared" si="17"/>
        <v>100</v>
      </c>
      <c r="Q74" s="25">
        <f t="shared" si="5"/>
        <v>-8.98333333333332</v>
      </c>
      <c r="R74" s="25">
        <f t="shared" si="6"/>
        <v>0</v>
      </c>
      <c r="S74" s="347"/>
      <c r="T74" s="348"/>
      <c r="U74" s="348"/>
      <c r="V74" s="348"/>
      <c r="W74" s="390"/>
      <c r="X74" s="348"/>
    </row>
    <row r="75" spans="1:24" s="414" customFormat="1" ht="241.5" customHeight="1">
      <c r="A75" s="342" t="s">
        <v>338</v>
      </c>
      <c r="B75" s="325">
        <v>41050300</v>
      </c>
      <c r="C75" s="3">
        <v>291262.5</v>
      </c>
      <c r="D75" s="3">
        <v>169001.3</v>
      </c>
      <c r="E75" s="25">
        <f t="shared" si="13"/>
        <v>-3459.399999999994</v>
      </c>
      <c r="F75" s="25">
        <f aca="true" t="shared" si="50" ref="F75:F110">L75/D75*100</f>
        <v>97.95303349737546</v>
      </c>
      <c r="G75" s="3">
        <v>354483.7</v>
      </c>
      <c r="H75" s="3">
        <f t="shared" si="48"/>
        <v>206782.15833333333</v>
      </c>
      <c r="I75" s="3">
        <f t="shared" si="49"/>
        <v>206782.15833333333</v>
      </c>
      <c r="J75" s="3">
        <v>203194.4</v>
      </c>
      <c r="K75" s="3">
        <v>203194.4</v>
      </c>
      <c r="L75" s="3">
        <v>165541.9</v>
      </c>
      <c r="M75" s="3" t="e">
        <f>L75-#REF!</f>
        <v>#REF!</v>
      </c>
      <c r="N75" s="3">
        <f t="shared" si="36"/>
        <v>46.69943921257874</v>
      </c>
      <c r="O75" s="25">
        <f t="shared" si="16"/>
        <v>80.05618150727784</v>
      </c>
      <c r="P75" s="3">
        <f t="shared" si="17"/>
        <v>81.4697157008264</v>
      </c>
      <c r="Q75" s="25">
        <f aca="true" t="shared" si="51" ref="Q75:Q96">L75-I75</f>
        <v>-41240.25833333333</v>
      </c>
      <c r="R75" s="25">
        <f aca="true" t="shared" si="52" ref="R75:R96">L75-K75</f>
        <v>-37652.5</v>
      </c>
      <c r="S75" s="347"/>
      <c r="T75" s="348"/>
      <c r="U75" s="348"/>
      <c r="V75" s="348"/>
      <c r="W75" s="390"/>
      <c r="X75" s="348"/>
    </row>
    <row r="76" spans="1:24" s="414" customFormat="1" ht="252">
      <c r="A76" s="342" t="s">
        <v>22</v>
      </c>
      <c r="B76" s="325">
        <v>41050400</v>
      </c>
      <c r="C76" s="3"/>
      <c r="D76" s="3"/>
      <c r="E76" s="25">
        <f>L76-D76</f>
        <v>3347.19821</v>
      </c>
      <c r="F76" s="256" t="e">
        <f>L76/D76*100</f>
        <v>#DIV/0!</v>
      </c>
      <c r="G76" s="3">
        <v>4839.6</v>
      </c>
      <c r="H76" s="3">
        <f t="shared" si="48"/>
        <v>2823.1</v>
      </c>
      <c r="I76" s="3">
        <f t="shared" si="49"/>
        <v>2823.1000000000004</v>
      </c>
      <c r="J76" s="3">
        <v>3347.2</v>
      </c>
      <c r="K76" s="3">
        <v>3347.2</v>
      </c>
      <c r="L76" s="3">
        <v>3347.19821</v>
      </c>
      <c r="M76" s="3" t="e">
        <f>L76-#REF!</f>
        <v>#REF!</v>
      </c>
      <c r="N76" s="399">
        <f t="shared" si="36"/>
        <v>69.16270373584594</v>
      </c>
      <c r="O76" s="400">
        <f>L76/I76*100</f>
        <v>118.56463497573588</v>
      </c>
      <c r="P76" s="399">
        <f>L76/K76*100</f>
        <v>99.99994652246654</v>
      </c>
      <c r="Q76" s="400">
        <f>L76-I76</f>
        <v>524.0982099999997</v>
      </c>
      <c r="R76" s="286">
        <f>L76-K76</f>
        <v>-0.0017899999998007843</v>
      </c>
      <c r="S76" s="347"/>
      <c r="T76" s="348"/>
      <c r="U76" s="348"/>
      <c r="V76" s="348"/>
      <c r="W76" s="390"/>
      <c r="X76" s="348"/>
    </row>
    <row r="77" spans="1:24" s="463" customFormat="1" ht="267.75">
      <c r="A77" s="464" t="s">
        <v>165</v>
      </c>
      <c r="B77" s="458">
        <v>41050500</v>
      </c>
      <c r="C77" s="456"/>
      <c r="D77" s="456"/>
      <c r="E77" s="459">
        <f>L77-D77</f>
        <v>2425.9</v>
      </c>
      <c r="F77" s="465" t="e">
        <f>L77/D77*100</f>
        <v>#DIV/0!</v>
      </c>
      <c r="G77" s="456">
        <v>3073.8</v>
      </c>
      <c r="H77" s="456">
        <f t="shared" si="48"/>
        <v>1793.0500000000002</v>
      </c>
      <c r="I77" s="456">
        <f t="shared" si="49"/>
        <v>1793.0500000000002</v>
      </c>
      <c r="J77" s="456">
        <v>2425.9</v>
      </c>
      <c r="K77" s="456">
        <v>2425.9</v>
      </c>
      <c r="L77" s="456">
        <v>2425.9</v>
      </c>
      <c r="M77" s="456">
        <f>L77</f>
        <v>2425.9</v>
      </c>
      <c r="N77" s="466">
        <f>L77/G77*100</f>
        <v>78.92185568351877</v>
      </c>
      <c r="O77" s="467">
        <f>L77/I77*100</f>
        <v>135.29460974317502</v>
      </c>
      <c r="P77" s="466">
        <f>L77/K77*100</f>
        <v>100</v>
      </c>
      <c r="Q77" s="467">
        <f>L77-I77</f>
        <v>632.8499999999999</v>
      </c>
      <c r="R77" s="468">
        <f>L77-K77</f>
        <v>0</v>
      </c>
      <c r="S77" s="469"/>
      <c r="T77" s="470"/>
      <c r="U77" s="470"/>
      <c r="V77" s="470"/>
      <c r="W77" s="471"/>
      <c r="X77" s="470"/>
    </row>
    <row r="78" spans="1:24" s="414" customFormat="1" ht="189">
      <c r="A78" s="342" t="s">
        <v>339</v>
      </c>
      <c r="B78" s="325">
        <v>41050700</v>
      </c>
      <c r="C78" s="3">
        <v>1786</v>
      </c>
      <c r="D78" s="3">
        <v>1004.6</v>
      </c>
      <c r="E78" s="25">
        <f t="shared" si="13"/>
        <v>212.4999999999999</v>
      </c>
      <c r="F78" s="25">
        <f t="shared" si="50"/>
        <v>121.15269759108101</v>
      </c>
      <c r="G78" s="3">
        <f>2695.7-200</f>
        <v>2495.7</v>
      </c>
      <c r="H78" s="3">
        <f t="shared" si="48"/>
        <v>1455.825</v>
      </c>
      <c r="I78" s="3">
        <f t="shared" si="49"/>
        <v>1455.8249999999998</v>
      </c>
      <c r="J78" s="3">
        <v>1278.2</v>
      </c>
      <c r="K78" s="3">
        <v>1278.2</v>
      </c>
      <c r="L78" s="3">
        <v>1217.1</v>
      </c>
      <c r="M78" s="3" t="e">
        <f>L78-#REF!</f>
        <v>#REF!</v>
      </c>
      <c r="N78" s="399">
        <f t="shared" si="36"/>
        <v>48.76788075489842</v>
      </c>
      <c r="O78" s="400">
        <f t="shared" si="16"/>
        <v>83.60208129411158</v>
      </c>
      <c r="P78" s="399">
        <f t="shared" si="17"/>
        <v>95.21984040056329</v>
      </c>
      <c r="Q78" s="400">
        <f t="shared" si="51"/>
        <v>-238.7249999999999</v>
      </c>
      <c r="R78" s="400">
        <f t="shared" si="52"/>
        <v>-61.100000000000136</v>
      </c>
      <c r="S78" s="347"/>
      <c r="T78" s="348"/>
      <c r="U78" s="348"/>
      <c r="V78" s="348"/>
      <c r="W78" s="390"/>
      <c r="X78" s="348"/>
    </row>
    <row r="79" spans="1:24" s="414" customFormat="1" ht="63">
      <c r="A79" s="342" t="s">
        <v>5</v>
      </c>
      <c r="B79" s="325">
        <v>41051100</v>
      </c>
      <c r="C79" s="3"/>
      <c r="D79" s="3"/>
      <c r="E79" s="25">
        <f t="shared" si="13"/>
        <v>788.8</v>
      </c>
      <c r="F79" s="256" t="e">
        <f t="shared" si="50"/>
        <v>#DIV/0!</v>
      </c>
      <c r="G79" s="3">
        <f aca="true" t="shared" si="53" ref="G79:L79">G80+G81+G82+G83</f>
        <v>788.8</v>
      </c>
      <c r="H79" s="3">
        <f t="shared" si="53"/>
        <v>460.1</v>
      </c>
      <c r="I79" s="3">
        <f t="shared" si="53"/>
        <v>460.1333333333333</v>
      </c>
      <c r="J79" s="3">
        <f t="shared" si="53"/>
        <v>788.8</v>
      </c>
      <c r="K79" s="3">
        <f t="shared" si="53"/>
        <v>788.8</v>
      </c>
      <c r="L79" s="3">
        <f t="shared" si="53"/>
        <v>788.8</v>
      </c>
      <c r="M79" s="3" t="e">
        <f>L79-#REF!</f>
        <v>#REF!</v>
      </c>
      <c r="N79" s="399">
        <f t="shared" si="36"/>
        <v>100</v>
      </c>
      <c r="O79" s="400">
        <f t="shared" si="16"/>
        <v>171.42857142857142</v>
      </c>
      <c r="P79" s="399">
        <f t="shared" si="17"/>
        <v>100</v>
      </c>
      <c r="Q79" s="400">
        <f t="shared" si="51"/>
        <v>328.66666666666663</v>
      </c>
      <c r="R79" s="400">
        <f t="shared" si="52"/>
        <v>0</v>
      </c>
      <c r="S79" s="347"/>
      <c r="T79" s="348"/>
      <c r="U79" s="348"/>
      <c r="V79" s="348"/>
      <c r="W79" s="390"/>
      <c r="X79" s="348"/>
    </row>
    <row r="80" spans="1:24" s="414" customFormat="1" ht="78.75">
      <c r="A80" s="438" t="s">
        <v>6</v>
      </c>
      <c r="B80" s="325"/>
      <c r="C80" s="3"/>
      <c r="D80" s="3"/>
      <c r="E80" s="25">
        <f t="shared" si="13"/>
        <v>233.1</v>
      </c>
      <c r="F80" s="256" t="e">
        <f t="shared" si="50"/>
        <v>#DIV/0!</v>
      </c>
      <c r="G80" s="3">
        <v>233.1</v>
      </c>
      <c r="H80" s="3">
        <f aca="true" t="shared" si="54" ref="H80:H85">ROUND(G80*$T$6,1)</f>
        <v>136</v>
      </c>
      <c r="I80" s="3">
        <f aca="true" t="shared" si="55" ref="I80:I85">G80/12*6+G80/12*22/22</f>
        <v>135.97500000000002</v>
      </c>
      <c r="J80" s="3">
        <v>233.1</v>
      </c>
      <c r="K80" s="3">
        <v>233.1</v>
      </c>
      <c r="L80" s="3">
        <v>233.1</v>
      </c>
      <c r="M80" s="3" t="e">
        <f>L80-#REF!</f>
        <v>#REF!</v>
      </c>
      <c r="N80" s="399">
        <f t="shared" si="36"/>
        <v>100</v>
      </c>
      <c r="O80" s="400">
        <f t="shared" si="16"/>
        <v>171.4285714285714</v>
      </c>
      <c r="P80" s="399">
        <f t="shared" si="17"/>
        <v>100</v>
      </c>
      <c r="Q80" s="400">
        <f t="shared" si="51"/>
        <v>97.12499999999997</v>
      </c>
      <c r="R80" s="400">
        <f t="shared" si="52"/>
        <v>0</v>
      </c>
      <c r="S80" s="347"/>
      <c r="T80" s="348"/>
      <c r="U80" s="348"/>
      <c r="V80" s="348"/>
      <c r="W80" s="390"/>
      <c r="X80" s="348"/>
    </row>
    <row r="81" spans="1:24" s="414" customFormat="1" ht="63">
      <c r="A81" s="438" t="s">
        <v>7</v>
      </c>
      <c r="B81" s="325"/>
      <c r="C81" s="3"/>
      <c r="D81" s="3"/>
      <c r="E81" s="25">
        <f>L81-D81</f>
        <v>416.9</v>
      </c>
      <c r="F81" s="256" t="e">
        <f>L81/D81*100</f>
        <v>#DIV/0!</v>
      </c>
      <c r="G81" s="3">
        <v>416.9</v>
      </c>
      <c r="H81" s="3">
        <f t="shared" si="54"/>
        <v>243.2</v>
      </c>
      <c r="I81" s="3">
        <f t="shared" si="55"/>
        <v>243.19166666666666</v>
      </c>
      <c r="J81" s="3">
        <v>416.9</v>
      </c>
      <c r="K81" s="3">
        <v>416.9</v>
      </c>
      <c r="L81" s="3">
        <v>416.9</v>
      </c>
      <c r="M81" s="3" t="e">
        <f>L81-#REF!</f>
        <v>#REF!</v>
      </c>
      <c r="N81" s="399">
        <f t="shared" si="36"/>
        <v>100</v>
      </c>
      <c r="O81" s="400">
        <f t="shared" si="16"/>
        <v>171.42857142857142</v>
      </c>
      <c r="P81" s="399">
        <f t="shared" si="17"/>
        <v>100</v>
      </c>
      <c r="Q81" s="400">
        <f t="shared" si="51"/>
        <v>173.70833333333331</v>
      </c>
      <c r="R81" s="400">
        <f t="shared" si="52"/>
        <v>0</v>
      </c>
      <c r="S81" s="347"/>
      <c r="T81" s="348"/>
      <c r="U81" s="348"/>
      <c r="V81" s="348"/>
      <c r="W81" s="390"/>
      <c r="X81" s="348"/>
    </row>
    <row r="82" spans="1:24" s="414" customFormat="1" ht="31.5">
      <c r="A82" s="438" t="s">
        <v>14</v>
      </c>
      <c r="B82" s="325"/>
      <c r="C82" s="3"/>
      <c r="D82" s="3"/>
      <c r="E82" s="25">
        <f>L82-D82</f>
        <v>100</v>
      </c>
      <c r="F82" s="256" t="e">
        <f>L82/D82*100</f>
        <v>#DIV/0!</v>
      </c>
      <c r="G82" s="3">
        <v>100</v>
      </c>
      <c r="H82" s="3">
        <f t="shared" si="54"/>
        <v>58.3</v>
      </c>
      <c r="I82" s="3">
        <f t="shared" si="55"/>
        <v>58.333333333333336</v>
      </c>
      <c r="J82" s="3">
        <v>100</v>
      </c>
      <c r="K82" s="3">
        <v>100</v>
      </c>
      <c r="L82" s="3">
        <v>100</v>
      </c>
      <c r="M82" s="3" t="e">
        <f>L82-#REF!</f>
        <v>#REF!</v>
      </c>
      <c r="N82" s="399">
        <f>L82/G82*100</f>
        <v>100</v>
      </c>
      <c r="O82" s="400">
        <f>L82/I82*100</f>
        <v>171.42857142857142</v>
      </c>
      <c r="P82" s="399">
        <f>L82/K82*100</f>
        <v>100</v>
      </c>
      <c r="Q82" s="400">
        <f>L82-I82</f>
        <v>41.666666666666664</v>
      </c>
      <c r="R82" s="400">
        <f>L82-K82</f>
        <v>0</v>
      </c>
      <c r="S82" s="347"/>
      <c r="T82" s="348"/>
      <c r="U82" s="348"/>
      <c r="V82" s="348"/>
      <c r="W82" s="390"/>
      <c r="X82" s="348"/>
    </row>
    <row r="83" spans="1:24" s="414" customFormat="1" ht="94.5">
      <c r="A83" s="438" t="s">
        <v>15</v>
      </c>
      <c r="B83" s="325"/>
      <c r="C83" s="3"/>
      <c r="D83" s="3"/>
      <c r="E83" s="25">
        <f>L83-D83</f>
        <v>38.8</v>
      </c>
      <c r="F83" s="256" t="e">
        <f>L83/D83*100</f>
        <v>#DIV/0!</v>
      </c>
      <c r="G83" s="3">
        <v>38.8</v>
      </c>
      <c r="H83" s="3">
        <f t="shared" si="54"/>
        <v>22.6</v>
      </c>
      <c r="I83" s="3">
        <f t="shared" si="55"/>
        <v>22.633333333333333</v>
      </c>
      <c r="J83" s="3">
        <v>38.8</v>
      </c>
      <c r="K83" s="3">
        <v>38.8</v>
      </c>
      <c r="L83" s="3">
        <v>38.8</v>
      </c>
      <c r="M83" s="3" t="e">
        <f>L83-#REF!</f>
        <v>#REF!</v>
      </c>
      <c r="N83" s="399">
        <f>L83/G83*100</f>
        <v>100</v>
      </c>
      <c r="O83" s="400">
        <f>L83/I83*100</f>
        <v>171.42857142857142</v>
      </c>
      <c r="P83" s="399">
        <f>L83/K83*100</f>
        <v>100</v>
      </c>
      <c r="Q83" s="400">
        <f>L83-I83</f>
        <v>16.166666666666664</v>
      </c>
      <c r="R83" s="400">
        <f>L83-K83</f>
        <v>0</v>
      </c>
      <c r="S83" s="347"/>
      <c r="T83" s="348"/>
      <c r="U83" s="348"/>
      <c r="V83" s="348"/>
      <c r="W83" s="390"/>
      <c r="X83" s="348"/>
    </row>
    <row r="84" spans="1:24" s="434" customFormat="1" ht="63">
      <c r="A84" s="342" t="s">
        <v>0</v>
      </c>
      <c r="B84" s="325">
        <v>41051200</v>
      </c>
      <c r="C84" s="3">
        <v>579.3</v>
      </c>
      <c r="D84" s="3">
        <v>342.4</v>
      </c>
      <c r="E84" s="25">
        <f aca="true" t="shared" si="56" ref="E84:E110">L84-D84</f>
        <v>330.6</v>
      </c>
      <c r="F84" s="25">
        <f t="shared" si="50"/>
        <v>196.55373831775702</v>
      </c>
      <c r="G84" s="3">
        <f>968.7+108</f>
        <v>1076.7</v>
      </c>
      <c r="H84" s="3">
        <f t="shared" si="54"/>
        <v>628.1</v>
      </c>
      <c r="I84" s="3">
        <f t="shared" si="55"/>
        <v>628.075</v>
      </c>
      <c r="J84" s="3">
        <v>673</v>
      </c>
      <c r="K84" s="3">
        <v>673</v>
      </c>
      <c r="L84" s="3">
        <v>673</v>
      </c>
      <c r="M84" s="3" t="e">
        <f>L84-#REF!</f>
        <v>#REF!</v>
      </c>
      <c r="N84" s="399">
        <f>L84/G84*100</f>
        <v>62.50580477384601</v>
      </c>
      <c r="O84" s="400">
        <f>L84/I84*100</f>
        <v>107.152808183736</v>
      </c>
      <c r="P84" s="399">
        <f>L84/K84*100</f>
        <v>100</v>
      </c>
      <c r="Q84" s="400">
        <f>L84-I84</f>
        <v>44.924999999999955</v>
      </c>
      <c r="R84" s="400">
        <f>L84-K84</f>
        <v>0</v>
      </c>
      <c r="S84" s="431"/>
      <c r="T84" s="432"/>
      <c r="U84" s="432"/>
      <c r="V84" s="432"/>
      <c r="W84" s="433"/>
      <c r="X84" s="432"/>
    </row>
    <row r="85" spans="1:24" s="414" customFormat="1" ht="63">
      <c r="A85" s="342" t="s">
        <v>16</v>
      </c>
      <c r="B85" s="325">
        <v>41051400</v>
      </c>
      <c r="C85" s="3"/>
      <c r="D85" s="3"/>
      <c r="E85" s="25">
        <f>L85-D85</f>
        <v>3424.2</v>
      </c>
      <c r="F85" s="256" t="e">
        <f>L85/D85*100</f>
        <v>#DIV/0!</v>
      </c>
      <c r="G85" s="3">
        <v>5478.7</v>
      </c>
      <c r="H85" s="3">
        <f t="shared" si="54"/>
        <v>3195.9</v>
      </c>
      <c r="I85" s="3">
        <f t="shared" si="55"/>
        <v>3195.9083333333333</v>
      </c>
      <c r="J85" s="3">
        <v>3424.2</v>
      </c>
      <c r="K85" s="3">
        <v>3424.2</v>
      </c>
      <c r="L85" s="3">
        <v>3424.2</v>
      </c>
      <c r="M85" s="3" t="e">
        <f>L85-#REF!</f>
        <v>#REF!</v>
      </c>
      <c r="N85" s="399">
        <f>L85/G85*100</f>
        <v>62.50022815631445</v>
      </c>
      <c r="O85" s="400">
        <f>L85/I85*100</f>
        <v>107.14324826796764</v>
      </c>
      <c r="P85" s="399">
        <f>L85/K85*100</f>
        <v>100</v>
      </c>
      <c r="Q85" s="400">
        <f>L85-I85</f>
        <v>228.29166666666652</v>
      </c>
      <c r="R85" s="400">
        <f>L85-K85</f>
        <v>0</v>
      </c>
      <c r="S85" s="347"/>
      <c r="T85" s="348"/>
      <c r="U85" s="348"/>
      <c r="V85" s="348"/>
      <c r="W85" s="390"/>
      <c r="X85" s="348"/>
    </row>
    <row r="86" spans="1:24" s="414" customFormat="1" ht="47.25">
      <c r="A86" s="342" t="s">
        <v>340</v>
      </c>
      <c r="B86" s="325">
        <v>41051500</v>
      </c>
      <c r="C86" s="3">
        <f>C87+C88+C89+C90+C91</f>
        <v>22528.1</v>
      </c>
      <c r="D86" s="456">
        <f>D87+D88+D89+D90+D91</f>
        <v>10067.9</v>
      </c>
      <c r="E86" s="25">
        <f t="shared" si="56"/>
        <v>519.7999999999993</v>
      </c>
      <c r="F86" s="25">
        <f t="shared" si="50"/>
        <v>105.16294361286862</v>
      </c>
      <c r="G86" s="3">
        <f aca="true" t="shared" si="57" ref="G86:L86">G87+G88+G89+G90+G91</f>
        <v>19196.399999999998</v>
      </c>
      <c r="H86" s="3">
        <f t="shared" si="57"/>
        <v>11197.9</v>
      </c>
      <c r="I86" s="3">
        <f t="shared" si="57"/>
        <v>11197.900000000001</v>
      </c>
      <c r="J86" s="3">
        <f t="shared" si="57"/>
        <v>11283.699999999999</v>
      </c>
      <c r="K86" s="3">
        <f t="shared" si="57"/>
        <v>11283.699999999999</v>
      </c>
      <c r="L86" s="456">
        <f t="shared" si="57"/>
        <v>10587.699999999999</v>
      </c>
      <c r="M86" s="3" t="e">
        <f>L86-#REF!</f>
        <v>#REF!</v>
      </c>
      <c r="N86" s="3">
        <f t="shared" si="36"/>
        <v>55.15461232314392</v>
      </c>
      <c r="O86" s="25">
        <f>L86/I86*100</f>
        <v>94.55076398253242</v>
      </c>
      <c r="P86" s="3">
        <f>L86/K86*100</f>
        <v>93.83181048769464</v>
      </c>
      <c r="Q86" s="25">
        <f t="shared" si="51"/>
        <v>-610.2000000000025</v>
      </c>
      <c r="R86" s="25">
        <f t="shared" si="52"/>
        <v>-696</v>
      </c>
      <c r="S86" s="347"/>
      <c r="T86" s="348"/>
      <c r="U86" s="348"/>
      <c r="V86" s="348"/>
      <c r="W86" s="390"/>
      <c r="X86" s="348"/>
    </row>
    <row r="87" spans="1:24" s="414" customFormat="1" ht="63">
      <c r="A87" s="342" t="s">
        <v>341</v>
      </c>
      <c r="B87" s="325"/>
      <c r="C87" s="3">
        <v>359.8</v>
      </c>
      <c r="D87" s="3">
        <v>183</v>
      </c>
      <c r="E87" s="25">
        <f t="shared" si="56"/>
        <v>-183</v>
      </c>
      <c r="F87" s="25">
        <f t="shared" si="50"/>
        <v>0</v>
      </c>
      <c r="G87" s="3"/>
      <c r="H87" s="25">
        <f aca="true" t="shared" si="58" ref="H87:H93">G87/12*7</f>
        <v>0</v>
      </c>
      <c r="I87" s="3">
        <f aca="true" t="shared" si="59" ref="I87:I93">G87/12*6+G87/12*22/22</f>
        <v>0</v>
      </c>
      <c r="J87" s="3"/>
      <c r="K87" s="3"/>
      <c r="L87" s="3"/>
      <c r="M87" s="9" t="e">
        <f>L87-#REF!</f>
        <v>#REF!</v>
      </c>
      <c r="N87" s="3"/>
      <c r="O87" s="25"/>
      <c r="P87" s="3"/>
      <c r="Q87" s="25"/>
      <c r="R87" s="25">
        <f t="shared" si="52"/>
        <v>0</v>
      </c>
      <c r="S87" s="347"/>
      <c r="T87" s="348"/>
      <c r="U87" s="348"/>
      <c r="V87" s="348"/>
      <c r="W87" s="390"/>
      <c r="X87" s="348"/>
    </row>
    <row r="88" spans="1:24" s="414" customFormat="1" ht="78.75">
      <c r="A88" s="342" t="s">
        <v>342</v>
      </c>
      <c r="B88" s="325"/>
      <c r="C88" s="3">
        <v>600.7</v>
      </c>
      <c r="D88" s="3">
        <v>72.4</v>
      </c>
      <c r="E88" s="25">
        <f t="shared" si="56"/>
        <v>-72.4</v>
      </c>
      <c r="F88" s="256">
        <f t="shared" si="50"/>
        <v>0</v>
      </c>
      <c r="G88" s="3"/>
      <c r="H88" s="25">
        <f t="shared" si="58"/>
        <v>0</v>
      </c>
      <c r="I88" s="3">
        <f t="shared" si="59"/>
        <v>0</v>
      </c>
      <c r="J88" s="3"/>
      <c r="K88" s="3"/>
      <c r="L88" s="3"/>
      <c r="M88" s="9" t="e">
        <f>L88-#REF!</f>
        <v>#REF!</v>
      </c>
      <c r="N88" s="3"/>
      <c r="O88" s="25"/>
      <c r="P88" s="3"/>
      <c r="Q88" s="25"/>
      <c r="R88" s="25">
        <f t="shared" si="52"/>
        <v>0</v>
      </c>
      <c r="S88" s="347"/>
      <c r="T88" s="348"/>
      <c r="U88" s="348"/>
      <c r="V88" s="348"/>
      <c r="W88" s="390"/>
      <c r="X88" s="348"/>
    </row>
    <row r="89" spans="1:24" s="414" customFormat="1" ht="31.5">
      <c r="A89" s="342" t="s">
        <v>343</v>
      </c>
      <c r="B89" s="325"/>
      <c r="C89" s="3">
        <v>13421.3</v>
      </c>
      <c r="D89" s="3">
        <v>6665.5</v>
      </c>
      <c r="E89" s="25">
        <f t="shared" si="56"/>
        <v>-301.8000000000002</v>
      </c>
      <c r="F89" s="25">
        <f t="shared" si="50"/>
        <v>95.47220763633636</v>
      </c>
      <c r="G89" s="3">
        <v>10910.6</v>
      </c>
      <c r="H89" s="25">
        <f t="shared" si="58"/>
        <v>6364.516666666666</v>
      </c>
      <c r="I89" s="3">
        <f t="shared" si="59"/>
        <v>6364.516666666666</v>
      </c>
      <c r="J89" s="3">
        <v>6363.7</v>
      </c>
      <c r="K89" s="3">
        <v>6363.7</v>
      </c>
      <c r="L89" s="3">
        <v>6363.7</v>
      </c>
      <c r="M89" s="3" t="e">
        <f>L89-#REF!</f>
        <v>#REF!</v>
      </c>
      <c r="N89" s="3">
        <f t="shared" si="36"/>
        <v>58.32584825765769</v>
      </c>
      <c r="O89" s="25">
        <f>L89/I89*100</f>
        <v>99.9871684416989</v>
      </c>
      <c r="P89" s="3">
        <f>L89/K89*100</f>
        <v>100</v>
      </c>
      <c r="Q89" s="25">
        <f t="shared" si="51"/>
        <v>-0.816666666666606</v>
      </c>
      <c r="R89" s="25">
        <f t="shared" si="52"/>
        <v>0</v>
      </c>
      <c r="S89" s="347"/>
      <c r="T89" s="348"/>
      <c r="U89" s="348"/>
      <c r="V89" s="348"/>
      <c r="W89" s="390"/>
      <c r="X89" s="348"/>
    </row>
    <row r="90" spans="1:24" s="414" customFormat="1" ht="31.5">
      <c r="A90" s="342" t="s">
        <v>344</v>
      </c>
      <c r="B90" s="325"/>
      <c r="C90" s="3">
        <v>7805.3</v>
      </c>
      <c r="D90" s="3">
        <v>3147</v>
      </c>
      <c r="E90" s="25">
        <f t="shared" si="56"/>
        <v>1011.6999999999998</v>
      </c>
      <c r="F90" s="25">
        <f t="shared" si="50"/>
        <v>132.1480775341595</v>
      </c>
      <c r="G90" s="3">
        <v>7131.5</v>
      </c>
      <c r="H90" s="25">
        <f t="shared" si="58"/>
        <v>4160.041666666666</v>
      </c>
      <c r="I90" s="3">
        <f t="shared" si="59"/>
        <v>4160.041666666667</v>
      </c>
      <c r="J90" s="3">
        <v>4158.7</v>
      </c>
      <c r="K90" s="3">
        <v>4158.7</v>
      </c>
      <c r="L90" s="3">
        <v>4158.7</v>
      </c>
      <c r="M90" s="3" t="e">
        <f>L90-#REF!</f>
        <v>#REF!</v>
      </c>
      <c r="N90" s="3">
        <f t="shared" si="36"/>
        <v>58.314520086938224</v>
      </c>
      <c r="O90" s="25">
        <f>L90/I90*100</f>
        <v>99.96774872046554</v>
      </c>
      <c r="P90" s="3">
        <f>L90/K90*100</f>
        <v>100</v>
      </c>
      <c r="Q90" s="25">
        <f t="shared" si="51"/>
        <v>-1.3416666666671517</v>
      </c>
      <c r="R90" s="25">
        <f t="shared" si="52"/>
        <v>0</v>
      </c>
      <c r="S90" s="347"/>
      <c r="T90" s="348"/>
      <c r="U90" s="348"/>
      <c r="V90" s="348"/>
      <c r="W90" s="390"/>
      <c r="X90" s="348"/>
    </row>
    <row r="91" spans="1:24" s="414" customFormat="1" ht="33" customHeight="1">
      <c r="A91" s="342" t="s">
        <v>166</v>
      </c>
      <c r="B91" s="325"/>
      <c r="C91" s="3">
        <f>C92</f>
        <v>341</v>
      </c>
      <c r="D91" s="3">
        <f>D92</f>
        <v>0</v>
      </c>
      <c r="E91" s="3">
        <f>E92</f>
        <v>65.3</v>
      </c>
      <c r="F91" s="255" t="e">
        <f>F92</f>
        <v>#DIV/0!</v>
      </c>
      <c r="G91" s="3">
        <f>G92</f>
        <v>1154.3</v>
      </c>
      <c r="H91" s="3">
        <f t="shared" si="58"/>
        <v>673.3416666666667</v>
      </c>
      <c r="I91" s="3">
        <f t="shared" si="59"/>
        <v>673.3416666666667</v>
      </c>
      <c r="J91" s="3">
        <f aca="true" t="shared" si="60" ref="J91:R91">J92</f>
        <v>761.3</v>
      </c>
      <c r="K91" s="3">
        <f t="shared" si="60"/>
        <v>761.3</v>
      </c>
      <c r="L91" s="3">
        <f t="shared" si="60"/>
        <v>65.3</v>
      </c>
      <c r="M91" s="3" t="e">
        <f>L91-#REF!</f>
        <v>#REF!</v>
      </c>
      <c r="N91" s="3">
        <f t="shared" si="60"/>
        <v>5.657108204106385</v>
      </c>
      <c r="O91" s="3">
        <f t="shared" si="60"/>
        <v>9.697899778468088</v>
      </c>
      <c r="P91" s="3">
        <f t="shared" si="60"/>
        <v>8.57743333771181</v>
      </c>
      <c r="Q91" s="3">
        <f t="shared" si="60"/>
        <v>-608.0416666666667</v>
      </c>
      <c r="R91" s="3">
        <f t="shared" si="60"/>
        <v>-696</v>
      </c>
      <c r="S91" s="347"/>
      <c r="T91" s="348"/>
      <c r="U91" s="348"/>
      <c r="V91" s="348"/>
      <c r="W91" s="390"/>
      <c r="X91" s="348"/>
    </row>
    <row r="92" spans="1:24" s="414" customFormat="1" ht="31.5">
      <c r="A92" s="342" t="s">
        <v>167</v>
      </c>
      <c r="B92" s="325"/>
      <c r="C92" s="3">
        <v>341</v>
      </c>
      <c r="D92" s="3"/>
      <c r="E92" s="25">
        <f t="shared" si="56"/>
        <v>65.3</v>
      </c>
      <c r="F92" s="256" t="e">
        <f t="shared" si="50"/>
        <v>#DIV/0!</v>
      </c>
      <c r="G92" s="3">
        <v>1154.3</v>
      </c>
      <c r="H92" s="25">
        <f t="shared" si="58"/>
        <v>673.3416666666667</v>
      </c>
      <c r="I92" s="3">
        <f t="shared" si="59"/>
        <v>673.3416666666667</v>
      </c>
      <c r="J92" s="3">
        <v>761.3</v>
      </c>
      <c r="K92" s="3">
        <v>761.3</v>
      </c>
      <c r="L92" s="3">
        <v>65.3</v>
      </c>
      <c r="M92" s="3" t="e">
        <f>L92-#REF!</f>
        <v>#REF!</v>
      </c>
      <c r="N92" s="255">
        <f t="shared" si="36"/>
        <v>5.657108204106385</v>
      </c>
      <c r="O92" s="256">
        <f aca="true" t="shared" si="61" ref="O92:O98">L92/I92*100</f>
        <v>9.697899778468088</v>
      </c>
      <c r="P92" s="255">
        <f aca="true" t="shared" si="62" ref="P92:P98">L92/K92*100</f>
        <v>8.57743333771181</v>
      </c>
      <c r="Q92" s="25">
        <f t="shared" si="51"/>
        <v>-608.0416666666667</v>
      </c>
      <c r="R92" s="25">
        <f t="shared" si="52"/>
        <v>-696</v>
      </c>
      <c r="S92" s="347"/>
      <c r="T92" s="348"/>
      <c r="U92" s="348"/>
      <c r="V92" s="348"/>
      <c r="W92" s="390"/>
      <c r="X92" s="348"/>
    </row>
    <row r="93" spans="1:24" s="414" customFormat="1" ht="63">
      <c r="A93" s="342" t="s">
        <v>345</v>
      </c>
      <c r="B93" s="325">
        <v>41052000</v>
      </c>
      <c r="C93" s="3">
        <v>3320.6</v>
      </c>
      <c r="D93" s="456">
        <v>1493.5</v>
      </c>
      <c r="E93" s="25">
        <f t="shared" si="56"/>
        <v>2305.1</v>
      </c>
      <c r="F93" s="25">
        <f t="shared" si="50"/>
        <v>254.3421493136927</v>
      </c>
      <c r="G93" s="3">
        <v>6911.5</v>
      </c>
      <c r="H93" s="25">
        <f t="shared" si="58"/>
        <v>4031.7083333333335</v>
      </c>
      <c r="I93" s="3">
        <f t="shared" si="59"/>
        <v>4031.7083333333335</v>
      </c>
      <c r="J93" s="3">
        <v>3798.6</v>
      </c>
      <c r="K93" s="3">
        <v>3798.6</v>
      </c>
      <c r="L93" s="3">
        <v>3798.6</v>
      </c>
      <c r="M93" s="3" t="e">
        <f>L93-#REF!</f>
        <v>#REF!</v>
      </c>
      <c r="N93" s="3">
        <f t="shared" si="36"/>
        <v>54.96057295811328</v>
      </c>
      <c r="O93" s="25">
        <f t="shared" si="61"/>
        <v>94.21812507105135</v>
      </c>
      <c r="P93" s="3">
        <f t="shared" si="62"/>
        <v>100</v>
      </c>
      <c r="Q93" s="25">
        <f t="shared" si="51"/>
        <v>-233.10833333333358</v>
      </c>
      <c r="R93" s="25">
        <f t="shared" si="52"/>
        <v>0</v>
      </c>
      <c r="S93" s="347"/>
      <c r="T93" s="348"/>
      <c r="U93" s="348"/>
      <c r="V93" s="348"/>
      <c r="W93" s="390"/>
      <c r="X93" s="348"/>
    </row>
    <row r="94" spans="1:24" s="360" customFormat="1" ht="63" hidden="1">
      <c r="A94" s="378" t="s">
        <v>357</v>
      </c>
      <c r="B94" s="379">
        <v>41052300</v>
      </c>
      <c r="C94" s="242"/>
      <c r="D94" s="242"/>
      <c r="E94" s="380">
        <f t="shared" si="56"/>
        <v>0</v>
      </c>
      <c r="F94" s="361" t="e">
        <f t="shared" si="50"/>
        <v>#DIV/0!</v>
      </c>
      <c r="G94" s="242"/>
      <c r="H94" s="380">
        <f>ROUND(G94*$T$6,1)</f>
        <v>0</v>
      </c>
      <c r="I94" s="3">
        <f>G94/12*6+G94/12*18/22</f>
        <v>0</v>
      </c>
      <c r="J94" s="242"/>
      <c r="K94" s="242"/>
      <c r="L94" s="242">
        <v>0</v>
      </c>
      <c r="M94" s="381" t="e">
        <f>L94-#REF!</f>
        <v>#REF!</v>
      </c>
      <c r="N94" s="382" t="e">
        <f t="shared" si="36"/>
        <v>#DIV/0!</v>
      </c>
      <c r="O94" s="383" t="e">
        <f t="shared" si="61"/>
        <v>#DIV/0!</v>
      </c>
      <c r="P94" s="382" t="e">
        <f t="shared" si="62"/>
        <v>#DIV/0!</v>
      </c>
      <c r="Q94" s="380">
        <f t="shared" si="51"/>
        <v>0</v>
      </c>
      <c r="R94" s="380">
        <f t="shared" si="52"/>
        <v>0</v>
      </c>
      <c r="S94" s="384"/>
      <c r="T94" s="358"/>
      <c r="U94" s="358"/>
      <c r="V94" s="358"/>
      <c r="W94" s="359"/>
      <c r="X94" s="358"/>
    </row>
    <row r="95" spans="1:24" s="414" customFormat="1" ht="63">
      <c r="A95" s="342" t="s">
        <v>346</v>
      </c>
      <c r="B95" s="325">
        <v>41053300</v>
      </c>
      <c r="C95" s="3">
        <v>130.1</v>
      </c>
      <c r="D95" s="3">
        <v>69.8</v>
      </c>
      <c r="E95" s="25">
        <f t="shared" si="56"/>
        <v>122.39999999999999</v>
      </c>
      <c r="F95" s="25">
        <f t="shared" si="50"/>
        <v>275.3581661891117</v>
      </c>
      <c r="G95" s="3">
        <f>131.3+78.4</f>
        <v>209.70000000000002</v>
      </c>
      <c r="H95" s="25">
        <f>G95/12*7</f>
        <v>122.32500000000002</v>
      </c>
      <c r="I95" s="3">
        <f>G95/12*6+G95/12*22/22</f>
        <v>122.32500000000002</v>
      </c>
      <c r="J95" s="3">
        <v>192.2</v>
      </c>
      <c r="K95" s="3">
        <v>192.2</v>
      </c>
      <c r="L95" s="3">
        <v>192.2</v>
      </c>
      <c r="M95" s="3" t="e">
        <f>L95-#REF!</f>
        <v>#REF!</v>
      </c>
      <c r="N95" s="3">
        <f t="shared" si="36"/>
        <v>91.65474487362899</v>
      </c>
      <c r="O95" s="25">
        <f t="shared" si="61"/>
        <v>157.12241978336397</v>
      </c>
      <c r="P95" s="3">
        <f t="shared" si="62"/>
        <v>100</v>
      </c>
      <c r="Q95" s="25">
        <f t="shared" si="51"/>
        <v>69.87499999999997</v>
      </c>
      <c r="R95" s="25">
        <f t="shared" si="52"/>
        <v>0</v>
      </c>
      <c r="S95" s="347"/>
      <c r="T95" s="348"/>
      <c r="U95" s="348"/>
      <c r="V95" s="348"/>
      <c r="W95" s="390"/>
      <c r="X95" s="348"/>
    </row>
    <row r="96" spans="1:24" s="414" customFormat="1" ht="31.5">
      <c r="A96" s="342" t="s">
        <v>347</v>
      </c>
      <c r="B96" s="325">
        <v>41053900</v>
      </c>
      <c r="C96" s="3">
        <f>SUM(C97:C110)</f>
        <v>4457.5</v>
      </c>
      <c r="D96" s="3">
        <f>SUM(D97:D111)</f>
        <v>2628.7999999999997</v>
      </c>
      <c r="E96" s="25">
        <f t="shared" si="56"/>
        <v>1620.400000000001</v>
      </c>
      <c r="F96" s="25">
        <f t="shared" si="50"/>
        <v>161.64029214850888</v>
      </c>
      <c r="G96" s="3">
        <f aca="true" t="shared" si="63" ref="G96:L96">SUM(G97:G111)</f>
        <v>5585.400000000001</v>
      </c>
      <c r="H96" s="3">
        <f t="shared" si="63"/>
        <v>3258.15</v>
      </c>
      <c r="I96" s="3">
        <f t="shared" si="63"/>
        <v>3258.15</v>
      </c>
      <c r="J96" s="3">
        <f t="shared" si="63"/>
        <v>5061.799999999999</v>
      </c>
      <c r="K96" s="3">
        <f t="shared" si="63"/>
        <v>5061.799999999999</v>
      </c>
      <c r="L96" s="456">
        <f t="shared" si="63"/>
        <v>4249.200000000001</v>
      </c>
      <c r="M96" s="3" t="e">
        <f>L96-#REF!</f>
        <v>#REF!</v>
      </c>
      <c r="N96" s="3">
        <f t="shared" si="36"/>
        <v>76.07691481362123</v>
      </c>
      <c r="O96" s="25">
        <f t="shared" si="61"/>
        <v>130.41756825192212</v>
      </c>
      <c r="P96" s="3">
        <f t="shared" si="62"/>
        <v>83.9464222213442</v>
      </c>
      <c r="Q96" s="25">
        <f t="shared" si="51"/>
        <v>991.0500000000006</v>
      </c>
      <c r="R96" s="25">
        <f t="shared" si="52"/>
        <v>-812.5999999999985</v>
      </c>
      <c r="S96" s="347"/>
      <c r="T96" s="348"/>
      <c r="U96" s="348"/>
      <c r="V96" s="348"/>
      <c r="W96" s="390"/>
      <c r="X96" s="348"/>
    </row>
    <row r="97" spans="1:24" s="463" customFormat="1" ht="129" customHeight="1">
      <c r="A97" s="464" t="s">
        <v>348</v>
      </c>
      <c r="B97" s="458"/>
      <c r="C97" s="456">
        <v>910.6</v>
      </c>
      <c r="D97" s="456">
        <v>461</v>
      </c>
      <c r="E97" s="459">
        <f t="shared" si="56"/>
        <v>89.20000000000005</v>
      </c>
      <c r="F97" s="459">
        <f t="shared" si="50"/>
        <v>119.34924078091107</v>
      </c>
      <c r="G97" s="456">
        <v>648.9</v>
      </c>
      <c r="H97" s="456">
        <f aca="true" t="shared" si="64" ref="H97:H112">G97/12*7</f>
        <v>378.525</v>
      </c>
      <c r="I97" s="456">
        <f aca="true" t="shared" si="65" ref="I97:I112">G97/12*6+G97/12*22/22</f>
        <v>378.525</v>
      </c>
      <c r="J97" s="456">
        <v>637.3</v>
      </c>
      <c r="K97" s="456">
        <v>637.3</v>
      </c>
      <c r="L97" s="456">
        <v>550.2</v>
      </c>
      <c r="M97" s="456" t="e">
        <f>L97-#REF!</f>
        <v>#REF!</v>
      </c>
      <c r="N97" s="456">
        <f>L97/G97*100</f>
        <v>84.789644012945</v>
      </c>
      <c r="O97" s="459">
        <f t="shared" si="61"/>
        <v>145.35367545076286</v>
      </c>
      <c r="P97" s="456">
        <f t="shared" si="62"/>
        <v>86.33296720539778</v>
      </c>
      <c r="Q97" s="459">
        <f>L97-I97</f>
        <v>171.67500000000007</v>
      </c>
      <c r="R97" s="459">
        <f>L97-K97</f>
        <v>-87.09999999999991</v>
      </c>
      <c r="S97" s="469"/>
      <c r="T97" s="470"/>
      <c r="U97" s="470"/>
      <c r="V97" s="470"/>
      <c r="W97" s="471"/>
      <c r="X97" s="470"/>
    </row>
    <row r="98" spans="1:24" s="463" customFormat="1" ht="31.5">
      <c r="A98" s="464" t="s">
        <v>349</v>
      </c>
      <c r="B98" s="458"/>
      <c r="C98" s="456">
        <v>361.7</v>
      </c>
      <c r="D98" s="456">
        <v>189.7</v>
      </c>
      <c r="E98" s="459">
        <f t="shared" si="56"/>
        <v>56.70000000000002</v>
      </c>
      <c r="F98" s="459">
        <f t="shared" si="50"/>
        <v>129.88929889298896</v>
      </c>
      <c r="G98" s="456">
        <v>320.9</v>
      </c>
      <c r="H98" s="456">
        <f t="shared" si="64"/>
        <v>187.19166666666663</v>
      </c>
      <c r="I98" s="456">
        <f t="shared" si="65"/>
        <v>187.19166666666666</v>
      </c>
      <c r="J98" s="456">
        <v>310.2</v>
      </c>
      <c r="K98" s="456">
        <v>310.2</v>
      </c>
      <c r="L98" s="456">
        <v>246.4</v>
      </c>
      <c r="M98" s="456" t="e">
        <f>L98-#REF!</f>
        <v>#REF!</v>
      </c>
      <c r="N98" s="456">
        <f>L98/G98*100</f>
        <v>76.78404487379247</v>
      </c>
      <c r="O98" s="459">
        <f t="shared" si="61"/>
        <v>131.62979121221565</v>
      </c>
      <c r="P98" s="456">
        <f t="shared" si="62"/>
        <v>79.43262411347519</v>
      </c>
      <c r="Q98" s="459">
        <f>L98-I98</f>
        <v>59.20833333333334</v>
      </c>
      <c r="R98" s="459">
        <f>L98-K98</f>
        <v>-63.79999999999998</v>
      </c>
      <c r="S98" s="469"/>
      <c r="T98" s="470"/>
      <c r="U98" s="470"/>
      <c r="V98" s="470"/>
      <c r="W98" s="471"/>
      <c r="X98" s="470"/>
    </row>
    <row r="99" spans="1:24" s="414" customFormat="1" ht="63">
      <c r="A99" s="342" t="s">
        <v>8</v>
      </c>
      <c r="B99" s="325"/>
      <c r="C99" s="3"/>
      <c r="D99" s="3"/>
      <c r="E99" s="25"/>
      <c r="F99" s="256"/>
      <c r="G99" s="3">
        <v>510.1</v>
      </c>
      <c r="H99" s="3">
        <f t="shared" si="64"/>
        <v>297.55833333333334</v>
      </c>
      <c r="I99" s="3">
        <f t="shared" si="65"/>
        <v>297.55833333333334</v>
      </c>
      <c r="J99" s="3">
        <v>510.1</v>
      </c>
      <c r="K99" s="3">
        <v>510.1</v>
      </c>
      <c r="L99" s="3">
        <v>162.8</v>
      </c>
      <c r="M99" s="3" t="e">
        <f>L99-#REF!</f>
        <v>#REF!</v>
      </c>
      <c r="N99" s="3"/>
      <c r="O99" s="25"/>
      <c r="P99" s="3"/>
      <c r="Q99" s="25"/>
      <c r="R99" s="25"/>
      <c r="S99" s="347"/>
      <c r="T99" s="348"/>
      <c r="U99" s="348"/>
      <c r="V99" s="348"/>
      <c r="W99" s="390"/>
      <c r="X99" s="348"/>
    </row>
    <row r="100" spans="1:24" s="414" customFormat="1" ht="78.75">
      <c r="A100" s="342" t="s">
        <v>9</v>
      </c>
      <c r="B100" s="325"/>
      <c r="C100" s="3"/>
      <c r="D100" s="3"/>
      <c r="E100" s="25"/>
      <c r="F100" s="256"/>
      <c r="G100" s="3">
        <v>651.3</v>
      </c>
      <c r="H100" s="3">
        <f t="shared" si="64"/>
        <v>379.925</v>
      </c>
      <c r="I100" s="3">
        <f t="shared" si="65"/>
        <v>379.92499999999995</v>
      </c>
      <c r="J100" s="3">
        <v>651.3</v>
      </c>
      <c r="K100" s="3">
        <v>651.3</v>
      </c>
      <c r="L100" s="3">
        <v>651.3</v>
      </c>
      <c r="M100" s="3" t="e">
        <f>L100-#REF!</f>
        <v>#REF!</v>
      </c>
      <c r="N100" s="3"/>
      <c r="O100" s="25"/>
      <c r="P100" s="3"/>
      <c r="Q100" s="25"/>
      <c r="R100" s="25"/>
      <c r="S100" s="347"/>
      <c r="T100" s="348"/>
      <c r="U100" s="348"/>
      <c r="V100" s="348"/>
      <c r="W100" s="390"/>
      <c r="X100" s="348"/>
    </row>
    <row r="101" spans="1:24" s="414" customFormat="1" ht="78.75">
      <c r="A101" s="342" t="s">
        <v>10</v>
      </c>
      <c r="B101" s="325"/>
      <c r="C101" s="3">
        <v>1167.7</v>
      </c>
      <c r="D101" s="3">
        <v>1168</v>
      </c>
      <c r="E101" s="25">
        <f>L101-D101</f>
        <v>531.7</v>
      </c>
      <c r="F101" s="25">
        <f>L101/D101*100</f>
        <v>145.52226027397262</v>
      </c>
      <c r="G101" s="3">
        <v>1699.6</v>
      </c>
      <c r="H101" s="3">
        <f t="shared" si="64"/>
        <v>991.4333333333333</v>
      </c>
      <c r="I101" s="3">
        <f t="shared" si="65"/>
        <v>991.4333333333333</v>
      </c>
      <c r="J101" s="3">
        <v>1699.7</v>
      </c>
      <c r="K101" s="3">
        <v>1699.7</v>
      </c>
      <c r="L101" s="3">
        <v>1699.7</v>
      </c>
      <c r="M101" s="3" t="e">
        <f>L101-#REF!</f>
        <v>#REF!</v>
      </c>
      <c r="N101" s="3">
        <f>L101/G101*100</f>
        <v>100.00588373734998</v>
      </c>
      <c r="O101" s="25">
        <f>L101/I101*100</f>
        <v>171.4386578354571</v>
      </c>
      <c r="P101" s="3">
        <f>L101/K101*100</f>
        <v>100</v>
      </c>
      <c r="Q101" s="25">
        <f>L101-I101</f>
        <v>708.2666666666668</v>
      </c>
      <c r="R101" s="25">
        <f>L101-K101</f>
        <v>0</v>
      </c>
      <c r="S101" s="347"/>
      <c r="T101" s="348"/>
      <c r="U101" s="348"/>
      <c r="V101" s="348"/>
      <c r="W101" s="390"/>
      <c r="X101" s="348"/>
    </row>
    <row r="102" spans="1:24" s="414" customFormat="1" ht="78.75">
      <c r="A102" s="342" t="s">
        <v>350</v>
      </c>
      <c r="B102" s="325"/>
      <c r="C102" s="3">
        <v>282</v>
      </c>
      <c r="D102" s="3">
        <v>168</v>
      </c>
      <c r="E102" s="25">
        <f t="shared" si="56"/>
        <v>16.80000000000001</v>
      </c>
      <c r="F102" s="25">
        <f t="shared" si="50"/>
        <v>110.00000000000001</v>
      </c>
      <c r="G102" s="3">
        <v>331.7</v>
      </c>
      <c r="H102" s="3">
        <f t="shared" si="64"/>
        <v>193.49166666666667</v>
      </c>
      <c r="I102" s="3">
        <f t="shared" si="65"/>
        <v>193.49166666666667</v>
      </c>
      <c r="J102" s="3">
        <v>184.8</v>
      </c>
      <c r="K102" s="3">
        <v>184.8</v>
      </c>
      <c r="L102" s="3">
        <v>184.8</v>
      </c>
      <c r="M102" s="3" t="e">
        <f>L102-#REF!</f>
        <v>#REF!</v>
      </c>
      <c r="N102" s="3">
        <f aca="true" t="shared" si="66" ref="N102:N110">L102/G102*100</f>
        <v>55.712993668977994</v>
      </c>
      <c r="O102" s="25">
        <f aca="true" t="shared" si="67" ref="O102:O110">L102/I102*100</f>
        <v>95.50798914681941</v>
      </c>
      <c r="P102" s="3">
        <f aca="true" t="shared" si="68" ref="P102:P110">L102/K102*100</f>
        <v>100</v>
      </c>
      <c r="Q102" s="25">
        <f aca="true" t="shared" si="69" ref="Q102:Q110">L102-I102</f>
        <v>-8.691666666666663</v>
      </c>
      <c r="R102" s="25">
        <f aca="true" t="shared" si="70" ref="R102:R110">L102-K102</f>
        <v>0</v>
      </c>
      <c r="S102" s="347"/>
      <c r="T102" s="348"/>
      <c r="U102" s="348"/>
      <c r="V102" s="348"/>
      <c r="W102" s="390"/>
      <c r="X102" s="348"/>
    </row>
    <row r="103" spans="1:24" s="414" customFormat="1" ht="24.75" customHeight="1">
      <c r="A103" s="342" t="s">
        <v>351</v>
      </c>
      <c r="B103" s="325"/>
      <c r="C103" s="3">
        <v>0.3</v>
      </c>
      <c r="D103" s="3">
        <v>0.2</v>
      </c>
      <c r="E103" s="25">
        <f t="shared" si="56"/>
        <v>-0.1</v>
      </c>
      <c r="F103" s="25">
        <f t="shared" si="50"/>
        <v>50</v>
      </c>
      <c r="G103" s="3">
        <v>0.8</v>
      </c>
      <c r="H103" s="3">
        <f t="shared" si="64"/>
        <v>0.4666666666666667</v>
      </c>
      <c r="I103" s="3">
        <f t="shared" si="65"/>
        <v>0.4666666666666667</v>
      </c>
      <c r="J103" s="3">
        <v>0.5</v>
      </c>
      <c r="K103" s="3">
        <v>0.5</v>
      </c>
      <c r="L103" s="3">
        <v>0.1</v>
      </c>
      <c r="M103" s="3" t="e">
        <f>L103-#REF!</f>
        <v>#REF!</v>
      </c>
      <c r="N103" s="3">
        <f t="shared" si="66"/>
        <v>12.5</v>
      </c>
      <c r="O103" s="25">
        <f t="shared" si="67"/>
        <v>21.42857142857143</v>
      </c>
      <c r="P103" s="3">
        <f t="shared" si="68"/>
        <v>20</v>
      </c>
      <c r="Q103" s="25">
        <f t="shared" si="69"/>
        <v>-0.3666666666666667</v>
      </c>
      <c r="R103" s="25">
        <f t="shared" si="70"/>
        <v>-0.4</v>
      </c>
      <c r="S103" s="347"/>
      <c r="T103" s="348"/>
      <c r="U103" s="348"/>
      <c r="V103" s="348"/>
      <c r="W103" s="390"/>
      <c r="X103" s="348"/>
    </row>
    <row r="104" spans="1:24" s="414" customFormat="1" ht="47.25">
      <c r="A104" s="342" t="s">
        <v>352</v>
      </c>
      <c r="B104" s="325"/>
      <c r="C104" s="3">
        <v>390</v>
      </c>
      <c r="D104" s="3">
        <v>190</v>
      </c>
      <c r="E104" s="25">
        <f t="shared" si="56"/>
        <v>118.89999999999998</v>
      </c>
      <c r="F104" s="25">
        <f t="shared" si="50"/>
        <v>162.57894736842104</v>
      </c>
      <c r="G104" s="3">
        <v>625.1</v>
      </c>
      <c r="H104" s="3">
        <f t="shared" si="64"/>
        <v>364.64166666666665</v>
      </c>
      <c r="I104" s="3">
        <f t="shared" si="65"/>
        <v>364.64166666666665</v>
      </c>
      <c r="J104" s="3">
        <v>365</v>
      </c>
      <c r="K104" s="3">
        <v>365</v>
      </c>
      <c r="L104" s="3">
        <v>308.9</v>
      </c>
      <c r="M104" s="3" t="e">
        <f>L104-#REF!</f>
        <v>#REF!</v>
      </c>
      <c r="N104" s="3">
        <f t="shared" si="66"/>
        <v>49.41609342505199</v>
      </c>
      <c r="O104" s="25">
        <f t="shared" si="67"/>
        <v>84.71330301437484</v>
      </c>
      <c r="P104" s="3">
        <f t="shared" si="68"/>
        <v>84.63013698630137</v>
      </c>
      <c r="Q104" s="25">
        <f t="shared" si="69"/>
        <v>-55.741666666666674</v>
      </c>
      <c r="R104" s="25">
        <f t="shared" si="70"/>
        <v>-56.10000000000002</v>
      </c>
      <c r="S104" s="347"/>
      <c r="T104" s="348"/>
      <c r="U104" s="348"/>
      <c r="V104" s="348"/>
      <c r="W104" s="390"/>
      <c r="X104" s="348"/>
    </row>
    <row r="105" spans="1:24" s="414" customFormat="1" ht="31.5">
      <c r="A105" s="342" t="s">
        <v>353</v>
      </c>
      <c r="B105" s="325"/>
      <c r="C105" s="3">
        <v>158.2</v>
      </c>
      <c r="D105" s="3">
        <v>103.2</v>
      </c>
      <c r="E105" s="25">
        <f t="shared" si="56"/>
        <v>-26.400000000000006</v>
      </c>
      <c r="F105" s="25">
        <f t="shared" si="50"/>
        <v>74.4186046511628</v>
      </c>
      <c r="G105" s="3">
        <v>200.7</v>
      </c>
      <c r="H105" s="3">
        <f t="shared" si="64"/>
        <v>117.07499999999999</v>
      </c>
      <c r="I105" s="3">
        <f t="shared" si="65"/>
        <v>117.07499999999999</v>
      </c>
      <c r="J105" s="3">
        <v>200.7</v>
      </c>
      <c r="K105" s="3">
        <v>200.7</v>
      </c>
      <c r="L105" s="3">
        <v>76.8</v>
      </c>
      <c r="M105" s="3" t="e">
        <f>L105-#REF!</f>
        <v>#REF!</v>
      </c>
      <c r="N105" s="3">
        <f t="shared" si="66"/>
        <v>38.2660687593423</v>
      </c>
      <c r="O105" s="25">
        <f t="shared" si="67"/>
        <v>65.59897501601539</v>
      </c>
      <c r="P105" s="3">
        <f t="shared" si="68"/>
        <v>38.2660687593423</v>
      </c>
      <c r="Q105" s="25">
        <f t="shared" si="69"/>
        <v>-40.27499999999999</v>
      </c>
      <c r="R105" s="25">
        <f t="shared" si="70"/>
        <v>-123.89999999999999</v>
      </c>
      <c r="S105" s="347"/>
      <c r="T105" s="348"/>
      <c r="U105" s="348"/>
      <c r="V105" s="348"/>
      <c r="W105" s="390"/>
      <c r="X105" s="348"/>
    </row>
    <row r="106" spans="1:24" s="414" customFormat="1" ht="47.25">
      <c r="A106" s="342" t="s">
        <v>354</v>
      </c>
      <c r="B106" s="325"/>
      <c r="C106" s="3">
        <v>166.9</v>
      </c>
      <c r="D106" s="3">
        <v>84.1</v>
      </c>
      <c r="E106" s="25">
        <f t="shared" si="56"/>
        <v>3.1000000000000085</v>
      </c>
      <c r="F106" s="25">
        <f t="shared" si="50"/>
        <v>103.68608799048754</v>
      </c>
      <c r="G106" s="3">
        <v>188.1</v>
      </c>
      <c r="H106" s="3">
        <f t="shared" si="64"/>
        <v>109.725</v>
      </c>
      <c r="I106" s="3">
        <f t="shared" si="65"/>
        <v>109.725</v>
      </c>
      <c r="J106" s="3">
        <v>94</v>
      </c>
      <c r="K106" s="3">
        <v>94</v>
      </c>
      <c r="L106" s="3">
        <v>87.2</v>
      </c>
      <c r="M106" s="3" t="e">
        <f>L106-#REF!</f>
        <v>#REF!</v>
      </c>
      <c r="N106" s="3">
        <f t="shared" si="66"/>
        <v>46.35832004253057</v>
      </c>
      <c r="O106" s="25">
        <f t="shared" si="67"/>
        <v>79.47140578719527</v>
      </c>
      <c r="P106" s="3">
        <f t="shared" si="68"/>
        <v>92.76595744680851</v>
      </c>
      <c r="Q106" s="25">
        <f t="shared" si="69"/>
        <v>-22.52499999999999</v>
      </c>
      <c r="R106" s="25">
        <f t="shared" si="70"/>
        <v>-6.799999999999997</v>
      </c>
      <c r="S106" s="347"/>
      <c r="T106" s="348"/>
      <c r="U106" s="348"/>
      <c r="V106" s="348"/>
      <c r="W106" s="390"/>
      <c r="X106" s="348"/>
    </row>
    <row r="107" spans="1:24" s="414" customFormat="1" ht="47.25">
      <c r="A107" s="342" t="s">
        <v>355</v>
      </c>
      <c r="B107" s="325"/>
      <c r="C107" s="3">
        <v>41.9</v>
      </c>
      <c r="D107" s="3">
        <v>34.4</v>
      </c>
      <c r="E107" s="25">
        <f t="shared" si="56"/>
        <v>-14.399999999999999</v>
      </c>
      <c r="F107" s="25">
        <f t="shared" si="50"/>
        <v>58.139534883720934</v>
      </c>
      <c r="G107" s="3">
        <v>55</v>
      </c>
      <c r="H107" s="3">
        <f t="shared" si="64"/>
        <v>32.08333333333333</v>
      </c>
      <c r="I107" s="3">
        <f t="shared" si="65"/>
        <v>32.083333333333336</v>
      </c>
      <c r="J107" s="3">
        <v>55</v>
      </c>
      <c r="K107" s="3">
        <v>55</v>
      </c>
      <c r="L107" s="3">
        <f>15+2.5+2.5</f>
        <v>20</v>
      </c>
      <c r="M107" s="3" t="e">
        <f>L107-#REF!</f>
        <v>#REF!</v>
      </c>
      <c r="N107" s="3">
        <f t="shared" si="66"/>
        <v>36.36363636363637</v>
      </c>
      <c r="O107" s="25">
        <f t="shared" si="67"/>
        <v>62.33766233766234</v>
      </c>
      <c r="P107" s="3">
        <f t="shared" si="68"/>
        <v>36.36363636363637</v>
      </c>
      <c r="Q107" s="25">
        <f t="shared" si="69"/>
        <v>-12.083333333333336</v>
      </c>
      <c r="R107" s="25">
        <f t="shared" si="70"/>
        <v>-35</v>
      </c>
      <c r="S107" s="347"/>
      <c r="T107" s="348"/>
      <c r="U107" s="348"/>
      <c r="V107" s="348"/>
      <c r="W107" s="390"/>
      <c r="X107" s="348"/>
    </row>
    <row r="108" spans="1:24" s="414" customFormat="1" ht="63">
      <c r="A108" s="392" t="s">
        <v>324</v>
      </c>
      <c r="B108" s="325"/>
      <c r="C108" s="3">
        <v>5</v>
      </c>
      <c r="D108" s="3"/>
      <c r="E108" s="256">
        <f t="shared" si="56"/>
        <v>0</v>
      </c>
      <c r="F108" s="256" t="e">
        <f t="shared" si="50"/>
        <v>#DIV/0!</v>
      </c>
      <c r="G108" s="3"/>
      <c r="H108" s="3">
        <f t="shared" si="64"/>
        <v>0</v>
      </c>
      <c r="I108" s="3">
        <f t="shared" si="65"/>
        <v>0</v>
      </c>
      <c r="J108" s="3"/>
      <c r="K108" s="3"/>
      <c r="L108" s="3"/>
      <c r="M108" s="9" t="e">
        <f>L108-#REF!</f>
        <v>#REF!</v>
      </c>
      <c r="N108" s="255" t="e">
        <f t="shared" si="66"/>
        <v>#DIV/0!</v>
      </c>
      <c r="O108" s="256" t="e">
        <f t="shared" si="67"/>
        <v>#DIV/0!</v>
      </c>
      <c r="P108" s="255" t="e">
        <f t="shared" si="68"/>
        <v>#DIV/0!</v>
      </c>
      <c r="Q108" s="25">
        <f t="shared" si="69"/>
        <v>0</v>
      </c>
      <c r="R108" s="25">
        <f t="shared" si="70"/>
        <v>0</v>
      </c>
      <c r="S108" s="347"/>
      <c r="T108" s="348"/>
      <c r="U108" s="348"/>
      <c r="V108" s="348"/>
      <c r="W108" s="390"/>
      <c r="X108" s="348"/>
    </row>
    <row r="109" spans="1:24" s="414" customFormat="1" ht="31.5">
      <c r="A109" s="342" t="s">
        <v>23</v>
      </c>
      <c r="B109" s="325"/>
      <c r="C109" s="3">
        <v>555.5</v>
      </c>
      <c r="D109" s="3">
        <v>230.2</v>
      </c>
      <c r="E109" s="25">
        <f t="shared" si="56"/>
        <v>30.80000000000001</v>
      </c>
      <c r="F109" s="25">
        <f t="shared" si="50"/>
        <v>113.37966985230234</v>
      </c>
      <c r="G109" s="3">
        <v>261</v>
      </c>
      <c r="H109" s="3">
        <f t="shared" si="64"/>
        <v>152.25</v>
      </c>
      <c r="I109" s="3">
        <f t="shared" si="65"/>
        <v>152.25</v>
      </c>
      <c r="J109" s="3">
        <v>261</v>
      </c>
      <c r="K109" s="3">
        <v>261</v>
      </c>
      <c r="L109" s="3">
        <v>261</v>
      </c>
      <c r="M109" s="3" t="e">
        <f>L109-#REF!</f>
        <v>#REF!</v>
      </c>
      <c r="N109" s="3">
        <f>L109/G109*100</f>
        <v>100</v>
      </c>
      <c r="O109" s="25">
        <f>L109/I109*100</f>
        <v>171.42857142857142</v>
      </c>
      <c r="P109" s="3">
        <f>L109/K109*100</f>
        <v>100</v>
      </c>
      <c r="Q109" s="25">
        <f>L109-I109</f>
        <v>108.75</v>
      </c>
      <c r="R109" s="25">
        <f>L109-K109</f>
        <v>0</v>
      </c>
      <c r="S109" s="347"/>
      <c r="T109" s="348"/>
      <c r="U109" s="348"/>
      <c r="V109" s="348"/>
      <c r="W109" s="454"/>
      <c r="X109" s="348"/>
    </row>
    <row r="110" spans="1:24" s="414" customFormat="1" ht="31.5">
      <c r="A110" s="342" t="s">
        <v>344</v>
      </c>
      <c r="B110" s="325"/>
      <c r="C110" s="3">
        <v>417.7</v>
      </c>
      <c r="D110" s="3"/>
      <c r="E110" s="256">
        <f t="shared" si="56"/>
        <v>0</v>
      </c>
      <c r="F110" s="256" t="e">
        <f t="shared" si="50"/>
        <v>#DIV/0!</v>
      </c>
      <c r="G110" s="3"/>
      <c r="H110" s="3">
        <f t="shared" si="64"/>
        <v>0</v>
      </c>
      <c r="I110" s="3">
        <f t="shared" si="65"/>
        <v>0</v>
      </c>
      <c r="J110" s="3"/>
      <c r="K110" s="3"/>
      <c r="L110" s="3"/>
      <c r="M110" s="9" t="e">
        <f>L110-#REF!</f>
        <v>#REF!</v>
      </c>
      <c r="N110" s="255" t="e">
        <f t="shared" si="66"/>
        <v>#DIV/0!</v>
      </c>
      <c r="O110" s="256" t="e">
        <f t="shared" si="67"/>
        <v>#DIV/0!</v>
      </c>
      <c r="P110" s="255" t="e">
        <f t="shared" si="68"/>
        <v>#DIV/0!</v>
      </c>
      <c r="Q110" s="25">
        <f t="shared" si="69"/>
        <v>0</v>
      </c>
      <c r="R110" s="25">
        <f t="shared" si="70"/>
        <v>0</v>
      </c>
      <c r="S110" s="347"/>
      <c r="T110" s="348"/>
      <c r="U110" s="348"/>
      <c r="V110" s="348"/>
      <c r="W110" s="390"/>
      <c r="X110" s="348"/>
    </row>
    <row r="111" spans="1:24" s="414" customFormat="1" ht="63">
      <c r="A111" s="342" t="s">
        <v>18</v>
      </c>
      <c r="B111" s="325"/>
      <c r="C111" s="3"/>
      <c r="D111" s="3"/>
      <c r="E111" s="25">
        <f>L111-D111</f>
        <v>0</v>
      </c>
      <c r="F111" s="256"/>
      <c r="G111" s="3">
        <v>92.2</v>
      </c>
      <c r="H111" s="3">
        <f t="shared" si="64"/>
        <v>53.78333333333333</v>
      </c>
      <c r="I111" s="3">
        <f t="shared" si="65"/>
        <v>53.78333333333333</v>
      </c>
      <c r="J111" s="3">
        <v>92.2</v>
      </c>
      <c r="K111" s="3">
        <v>92.2</v>
      </c>
      <c r="L111" s="3"/>
      <c r="M111" s="9" t="e">
        <f>L111-#REF!</f>
        <v>#REF!</v>
      </c>
      <c r="N111" s="255">
        <f>L111/G111*100</f>
        <v>0</v>
      </c>
      <c r="O111" s="256">
        <f>L111/I111*100</f>
        <v>0</v>
      </c>
      <c r="P111" s="255">
        <f>L111/K111*100</f>
        <v>0</v>
      </c>
      <c r="Q111" s="25">
        <f>L111-I111</f>
        <v>-53.78333333333333</v>
      </c>
      <c r="R111" s="25">
        <f>L111-K111</f>
        <v>-92.2</v>
      </c>
      <c r="S111" s="347"/>
      <c r="T111" s="348"/>
      <c r="U111" s="348"/>
      <c r="V111" s="348"/>
      <c r="W111" s="390"/>
      <c r="X111" s="348"/>
    </row>
    <row r="112" spans="1:24" s="414" customFormat="1" ht="78.75">
      <c r="A112" s="342" t="s">
        <v>4</v>
      </c>
      <c r="B112" s="325">
        <v>41054100</v>
      </c>
      <c r="C112" s="3"/>
      <c r="D112" s="3"/>
      <c r="E112" s="25">
        <f>L112-D112</f>
        <v>211.7022</v>
      </c>
      <c r="F112" s="256" t="e">
        <f>L112/D112*100</f>
        <v>#DIV/0!</v>
      </c>
      <c r="G112" s="3">
        <v>211.7</v>
      </c>
      <c r="H112" s="3">
        <f t="shared" si="64"/>
        <v>123.49166666666666</v>
      </c>
      <c r="I112" s="3">
        <f t="shared" si="65"/>
        <v>123.49166666666666</v>
      </c>
      <c r="J112" s="3">
        <v>211.7</v>
      </c>
      <c r="K112" s="3">
        <v>211.7</v>
      </c>
      <c r="L112" s="3">
        <v>211.7022</v>
      </c>
      <c r="M112" s="3" t="e">
        <f>L112-#REF!</f>
        <v>#REF!</v>
      </c>
      <c r="N112" s="3">
        <f>L112/G112*100</f>
        <v>100.0010392064242</v>
      </c>
      <c r="O112" s="25">
        <f>L112/I112*100</f>
        <v>171.43035292529862</v>
      </c>
      <c r="P112" s="3">
        <f>L112/K112*100</f>
        <v>100.0010392064242</v>
      </c>
      <c r="Q112" s="25">
        <f>L112-I112</f>
        <v>88.21053333333334</v>
      </c>
      <c r="R112" s="14">
        <f>L112-K112</f>
        <v>0.002200000000016189</v>
      </c>
      <c r="S112" s="347"/>
      <c r="T112" s="348"/>
      <c r="U112" s="348"/>
      <c r="V112" s="348"/>
      <c r="W112" s="390"/>
      <c r="X112" s="348"/>
    </row>
    <row r="113" spans="1:24" s="425" customFormat="1" ht="25.5" customHeight="1">
      <c r="A113" s="401" t="s">
        <v>236</v>
      </c>
      <c r="B113" s="393"/>
      <c r="C113" s="205">
        <f>C62+C63</f>
        <v>2768350</v>
      </c>
      <c r="D113" s="205">
        <f>D62+D63</f>
        <v>1650445.7</v>
      </c>
      <c r="E113" s="250">
        <f>L113-D113</f>
        <v>359621.21151999966</v>
      </c>
      <c r="F113" s="250">
        <f>L113/D113*100</f>
        <v>121.78933917789598</v>
      </c>
      <c r="G113" s="250">
        <f aca="true" t="shared" si="71" ref="G113:M113">G62+G63</f>
        <v>3282266.4</v>
      </c>
      <c r="H113" s="218">
        <f t="shared" si="71"/>
        <v>1914655.3833333333</v>
      </c>
      <c r="I113" s="218">
        <f t="shared" si="71"/>
        <v>1914655.4</v>
      </c>
      <c r="J113" s="218">
        <f t="shared" si="71"/>
        <v>2003917.7999999998</v>
      </c>
      <c r="K113" s="218">
        <f t="shared" si="71"/>
        <v>2003917.7999999998</v>
      </c>
      <c r="L113" s="218">
        <f t="shared" si="71"/>
        <v>2010066.9115199996</v>
      </c>
      <c r="M113" s="218" t="e">
        <f t="shared" si="71"/>
        <v>#REF!</v>
      </c>
      <c r="N113" s="218">
        <f>L113/G113*100</f>
        <v>61.24021229721024</v>
      </c>
      <c r="O113" s="250">
        <f>L113/I113*100</f>
        <v>104.98322108093183</v>
      </c>
      <c r="P113" s="218">
        <f>L113/K113*100</f>
        <v>100.30685447876155</v>
      </c>
      <c r="Q113" s="250">
        <f>L113-I113</f>
        <v>95411.51151999971</v>
      </c>
      <c r="R113" s="218">
        <f>L113-K113</f>
        <v>6149.111519999802</v>
      </c>
      <c r="S113" s="394">
        <f aca="true" t="shared" si="72" ref="S113:S138">L113-I113-Q113</f>
        <v>0</v>
      </c>
      <c r="T113" s="395">
        <f aca="true" t="shared" si="73" ref="T113:T138">L113-K113-R113</f>
        <v>0</v>
      </c>
      <c r="U113" s="395">
        <f aca="true" t="shared" si="74" ref="U113:U138">L113/G113*100-N113</f>
        <v>0</v>
      </c>
      <c r="V113" s="395">
        <f aca="true" t="shared" si="75" ref="V113:V138">L113/I113*100-O113</f>
        <v>0</v>
      </c>
      <c r="W113" s="396">
        <f aca="true" t="shared" si="76" ref="W113:W138">H113-I113</f>
        <v>-0.016666666604578495</v>
      </c>
      <c r="X113" s="395">
        <f aca="true" t="shared" si="77" ref="X113:X138">J113-K113</f>
        <v>0</v>
      </c>
    </row>
    <row r="114" spans="1:24" s="414" customFormat="1" ht="21.75" customHeight="1">
      <c r="A114" s="827" t="s">
        <v>237</v>
      </c>
      <c r="B114" s="828"/>
      <c r="C114" s="828"/>
      <c r="D114" s="828"/>
      <c r="E114" s="828"/>
      <c r="F114" s="828"/>
      <c r="G114" s="828"/>
      <c r="H114" s="828"/>
      <c r="I114" s="828"/>
      <c r="J114" s="828"/>
      <c r="K114" s="828"/>
      <c r="L114" s="828"/>
      <c r="M114" s="828"/>
      <c r="N114" s="828"/>
      <c r="O114" s="828"/>
      <c r="P114" s="828"/>
      <c r="Q114" s="828"/>
      <c r="R114" s="829"/>
      <c r="S114" s="321">
        <f t="shared" si="72"/>
        <v>0</v>
      </c>
      <c r="T114" s="322">
        <f t="shared" si="73"/>
        <v>0</v>
      </c>
      <c r="U114" s="322" t="e">
        <f t="shared" si="74"/>
        <v>#DIV/0!</v>
      </c>
      <c r="V114" s="322" t="e">
        <f t="shared" si="75"/>
        <v>#DIV/0!</v>
      </c>
      <c r="W114" s="323">
        <f t="shared" si="76"/>
        <v>0</v>
      </c>
      <c r="X114" s="322">
        <f t="shared" si="77"/>
        <v>0</v>
      </c>
    </row>
    <row r="115" spans="1:24" s="416" customFormat="1" ht="23.25" customHeight="1">
      <c r="A115" s="367" t="s">
        <v>66</v>
      </c>
      <c r="B115" s="368">
        <v>10000000</v>
      </c>
      <c r="C115" s="10">
        <f>C116+C118</f>
        <v>3549.9</v>
      </c>
      <c r="D115" s="10">
        <f>D116+D118</f>
        <v>2021.5</v>
      </c>
      <c r="E115" s="6">
        <f aca="true" t="shared" si="78" ref="E115:E154">L115-D115</f>
        <v>189.69999999999982</v>
      </c>
      <c r="F115" s="6">
        <f aca="true" t="shared" si="79" ref="F115:F154">L115/D115*100</f>
        <v>109.38412070244867</v>
      </c>
      <c r="G115" s="10">
        <f aca="true" t="shared" si="80" ref="G115:M115">G116+G118</f>
        <v>3500</v>
      </c>
      <c r="H115" s="10">
        <f t="shared" si="80"/>
        <v>2041.6666666666667</v>
      </c>
      <c r="I115" s="10">
        <f t="shared" si="80"/>
        <v>2041.6666666666667</v>
      </c>
      <c r="J115" s="10">
        <f t="shared" si="80"/>
        <v>1993.1</v>
      </c>
      <c r="K115" s="10">
        <f t="shared" si="80"/>
        <v>1993.1</v>
      </c>
      <c r="L115" s="10">
        <f t="shared" si="80"/>
        <v>2211.2</v>
      </c>
      <c r="M115" s="10" t="e">
        <f t="shared" si="80"/>
        <v>#REF!</v>
      </c>
      <c r="N115" s="10">
        <f aca="true" t="shared" si="81" ref="N115:N154">L115/G115*100</f>
        <v>63.177142857142854</v>
      </c>
      <c r="O115" s="6">
        <f aca="true" t="shared" si="82" ref="O115:O154">L115/I115*100</f>
        <v>108.30367346938775</v>
      </c>
      <c r="P115" s="10">
        <f aca="true" t="shared" si="83" ref="P115:P154">L115/K115*100</f>
        <v>110.94275249611158</v>
      </c>
      <c r="Q115" s="6">
        <f aca="true" t="shared" si="84" ref="Q115:Q154">L115-I115</f>
        <v>169.53333333333308</v>
      </c>
      <c r="R115" s="10">
        <f aca="true" t="shared" si="85" ref="R115:R153">L115-K115</f>
        <v>218.0999999999999</v>
      </c>
      <c r="S115" s="321">
        <f t="shared" si="72"/>
        <v>0</v>
      </c>
      <c r="T115" s="322">
        <f t="shared" si="73"/>
        <v>0</v>
      </c>
      <c r="U115" s="322">
        <f t="shared" si="74"/>
        <v>0</v>
      </c>
      <c r="V115" s="322">
        <f t="shared" si="75"/>
        <v>0</v>
      </c>
      <c r="W115" s="323">
        <f t="shared" si="76"/>
        <v>0</v>
      </c>
      <c r="X115" s="322">
        <f t="shared" si="77"/>
        <v>0</v>
      </c>
    </row>
    <row r="116" spans="1:24" s="416" customFormat="1" ht="21.75" customHeight="1">
      <c r="A116" s="326" t="s">
        <v>359</v>
      </c>
      <c r="B116" s="368">
        <v>12000000</v>
      </c>
      <c r="C116" s="10">
        <f>C117</f>
        <v>3.5</v>
      </c>
      <c r="D116" s="10">
        <f>D117</f>
        <v>0.7</v>
      </c>
      <c r="E116" s="6">
        <f t="shared" si="78"/>
        <v>-2.2</v>
      </c>
      <c r="F116" s="6">
        <f t="shared" si="79"/>
        <v>-214.28571428571428</v>
      </c>
      <c r="G116" s="10">
        <f aca="true" t="shared" si="86" ref="G116:M116">G117</f>
        <v>0</v>
      </c>
      <c r="H116" s="10">
        <f t="shared" si="86"/>
        <v>0</v>
      </c>
      <c r="I116" s="10">
        <f t="shared" si="86"/>
        <v>0</v>
      </c>
      <c r="J116" s="10">
        <f t="shared" si="86"/>
        <v>0</v>
      </c>
      <c r="K116" s="10">
        <f t="shared" si="86"/>
        <v>0</v>
      </c>
      <c r="L116" s="10">
        <f t="shared" si="86"/>
        <v>-1.5</v>
      </c>
      <c r="M116" s="10" t="e">
        <f t="shared" si="86"/>
        <v>#REF!</v>
      </c>
      <c r="N116" s="49" t="e">
        <f t="shared" si="81"/>
        <v>#DIV/0!</v>
      </c>
      <c r="O116" s="50" t="e">
        <f t="shared" si="82"/>
        <v>#DIV/0!</v>
      </c>
      <c r="P116" s="49" t="e">
        <f t="shared" si="83"/>
        <v>#DIV/0!</v>
      </c>
      <c r="Q116" s="6">
        <f t="shared" si="84"/>
        <v>-1.5</v>
      </c>
      <c r="R116" s="10">
        <f t="shared" si="85"/>
        <v>-1.5</v>
      </c>
      <c r="S116" s="321">
        <f t="shared" si="72"/>
        <v>0</v>
      </c>
      <c r="T116" s="322">
        <f t="shared" si="73"/>
        <v>0</v>
      </c>
      <c r="U116" s="322" t="e">
        <f t="shared" si="74"/>
        <v>#DIV/0!</v>
      </c>
      <c r="V116" s="322" t="e">
        <f t="shared" si="75"/>
        <v>#DIV/0!</v>
      </c>
      <c r="W116" s="323">
        <f t="shared" si="76"/>
        <v>0</v>
      </c>
      <c r="X116" s="322">
        <f t="shared" si="77"/>
        <v>0</v>
      </c>
    </row>
    <row r="117" spans="1:24" s="414" customFormat="1" ht="31.5">
      <c r="A117" s="374" t="s">
        <v>238</v>
      </c>
      <c r="B117" s="325">
        <v>12020000</v>
      </c>
      <c r="C117" s="7">
        <v>3.5</v>
      </c>
      <c r="D117" s="7">
        <v>0.7</v>
      </c>
      <c r="E117" s="25">
        <f t="shared" si="78"/>
        <v>-2.2</v>
      </c>
      <c r="F117" s="25">
        <f t="shared" si="79"/>
        <v>-214.28571428571428</v>
      </c>
      <c r="G117" s="7"/>
      <c r="H117" s="7">
        <f>G117*$T$6</f>
        <v>0</v>
      </c>
      <c r="I117" s="7"/>
      <c r="J117" s="7"/>
      <c r="K117" s="7"/>
      <c r="L117" s="7">
        <v>-1.5</v>
      </c>
      <c r="M117" s="3" t="e">
        <f>L117-#REF!</f>
        <v>#REF!</v>
      </c>
      <c r="N117" s="52" t="e">
        <f t="shared" si="81"/>
        <v>#DIV/0!</v>
      </c>
      <c r="O117" s="50" t="e">
        <f t="shared" si="82"/>
        <v>#DIV/0!</v>
      </c>
      <c r="P117" s="52" t="e">
        <f t="shared" si="83"/>
        <v>#DIV/0!</v>
      </c>
      <c r="Q117" s="25">
        <f t="shared" si="84"/>
        <v>-1.5</v>
      </c>
      <c r="R117" s="7">
        <f t="shared" si="85"/>
        <v>-1.5</v>
      </c>
      <c r="S117" s="321">
        <f t="shared" si="72"/>
        <v>0</v>
      </c>
      <c r="T117" s="322">
        <f t="shared" si="73"/>
        <v>0</v>
      </c>
      <c r="U117" s="322" t="e">
        <f t="shared" si="74"/>
        <v>#DIV/0!</v>
      </c>
      <c r="V117" s="322" t="e">
        <f t="shared" si="75"/>
        <v>#DIV/0!</v>
      </c>
      <c r="W117" s="323">
        <f t="shared" si="76"/>
        <v>0</v>
      </c>
      <c r="X117" s="322">
        <f t="shared" si="77"/>
        <v>0</v>
      </c>
    </row>
    <row r="118" spans="1:24" s="415" customFormat="1" ht="27.75" customHeight="1">
      <c r="A118" s="328" t="s">
        <v>76</v>
      </c>
      <c r="B118" s="320" t="s">
        <v>246</v>
      </c>
      <c r="C118" s="10">
        <f>C119</f>
        <v>3546.4</v>
      </c>
      <c r="D118" s="10">
        <f>D119</f>
        <v>2020.8</v>
      </c>
      <c r="E118" s="6">
        <f t="shared" si="78"/>
        <v>191.89999999999986</v>
      </c>
      <c r="F118" s="6">
        <f t="shared" si="79"/>
        <v>109.49623911322249</v>
      </c>
      <c r="G118" s="10">
        <f aca="true" t="shared" si="87" ref="G118:L118">G119</f>
        <v>3500</v>
      </c>
      <c r="H118" s="10">
        <f t="shared" si="87"/>
        <v>2041.6666666666667</v>
      </c>
      <c r="I118" s="10">
        <f t="shared" si="87"/>
        <v>2041.6666666666667</v>
      </c>
      <c r="J118" s="10">
        <f t="shared" si="87"/>
        <v>1993.1</v>
      </c>
      <c r="K118" s="10">
        <f t="shared" si="87"/>
        <v>1993.1</v>
      </c>
      <c r="L118" s="10">
        <f t="shared" si="87"/>
        <v>2212.7</v>
      </c>
      <c r="M118" s="10" t="e">
        <f>L118-#REF!</f>
        <v>#REF!</v>
      </c>
      <c r="N118" s="62">
        <f t="shared" si="81"/>
        <v>63.22</v>
      </c>
      <c r="O118" s="6">
        <f t="shared" si="82"/>
        <v>108.37714285714284</v>
      </c>
      <c r="P118" s="62">
        <f t="shared" si="83"/>
        <v>111.01801214188951</v>
      </c>
      <c r="Q118" s="6">
        <f t="shared" si="84"/>
        <v>171.03333333333308</v>
      </c>
      <c r="R118" s="10">
        <f t="shared" si="85"/>
        <v>219.5999999999999</v>
      </c>
      <c r="S118" s="321">
        <f t="shared" si="72"/>
        <v>0</v>
      </c>
      <c r="T118" s="322">
        <f t="shared" si="73"/>
        <v>0</v>
      </c>
      <c r="U118" s="322">
        <f t="shared" si="74"/>
        <v>0</v>
      </c>
      <c r="V118" s="322">
        <f t="shared" si="75"/>
        <v>0</v>
      </c>
      <c r="W118" s="323">
        <f t="shared" si="76"/>
        <v>0</v>
      </c>
      <c r="X118" s="322">
        <f t="shared" si="77"/>
        <v>0</v>
      </c>
    </row>
    <row r="119" spans="1:24" s="415" customFormat="1" ht="26.25" customHeight="1">
      <c r="A119" s="342" t="s">
        <v>247</v>
      </c>
      <c r="B119" s="325" t="s">
        <v>248</v>
      </c>
      <c r="C119" s="3">
        <v>3546.4</v>
      </c>
      <c r="D119" s="7">
        <v>2020.8</v>
      </c>
      <c r="E119" s="25">
        <f t="shared" si="78"/>
        <v>191.89999999999986</v>
      </c>
      <c r="F119" s="25">
        <f t="shared" si="79"/>
        <v>109.49623911322249</v>
      </c>
      <c r="G119" s="7">
        <v>3500</v>
      </c>
      <c r="H119" s="7">
        <f>G119/12*7</f>
        <v>2041.6666666666667</v>
      </c>
      <c r="I119" s="7">
        <f>G119/12*6+G119/12*22/22</f>
        <v>2041.6666666666667</v>
      </c>
      <c r="J119" s="7">
        <v>1993.1</v>
      </c>
      <c r="K119" s="7">
        <v>1993.1</v>
      </c>
      <c r="L119" s="7">
        <v>2212.7</v>
      </c>
      <c r="M119" s="3" t="e">
        <f>L119-#REF!</f>
        <v>#REF!</v>
      </c>
      <c r="N119" s="63">
        <f t="shared" si="81"/>
        <v>63.22</v>
      </c>
      <c r="O119" s="25">
        <f t="shared" si="82"/>
        <v>108.37714285714284</v>
      </c>
      <c r="P119" s="63">
        <f t="shared" si="83"/>
        <v>111.01801214188951</v>
      </c>
      <c r="Q119" s="25">
        <f t="shared" si="84"/>
        <v>171.03333333333308</v>
      </c>
      <c r="R119" s="7">
        <f t="shared" si="85"/>
        <v>219.5999999999999</v>
      </c>
      <c r="S119" s="321">
        <f t="shared" si="72"/>
        <v>0</v>
      </c>
      <c r="T119" s="322">
        <f t="shared" si="73"/>
        <v>0</v>
      </c>
      <c r="U119" s="322">
        <f t="shared" si="74"/>
        <v>0</v>
      </c>
      <c r="V119" s="322">
        <f t="shared" si="75"/>
        <v>0</v>
      </c>
      <c r="W119" s="323">
        <f t="shared" si="76"/>
        <v>0</v>
      </c>
      <c r="X119" s="322">
        <f t="shared" si="77"/>
        <v>0</v>
      </c>
    </row>
    <row r="120" spans="1:24" s="416" customFormat="1" ht="27" customHeight="1">
      <c r="A120" s="328" t="s">
        <v>77</v>
      </c>
      <c r="B120" s="320">
        <v>20000000</v>
      </c>
      <c r="C120" s="10">
        <f>C121+C129</f>
        <v>73829.9</v>
      </c>
      <c r="D120" s="10">
        <f>D121+D129</f>
        <v>37126.799999999996</v>
      </c>
      <c r="E120" s="6">
        <f t="shared" si="78"/>
        <v>16307.5</v>
      </c>
      <c r="F120" s="100">
        <f t="shared" si="79"/>
        <v>143.92379628731805</v>
      </c>
      <c r="G120" s="10">
        <f aca="true" t="shared" si="88" ref="G120:L120">G121+G129</f>
        <v>72030.09999999999</v>
      </c>
      <c r="H120" s="10">
        <f t="shared" si="88"/>
        <v>42017.558333333334</v>
      </c>
      <c r="I120" s="10">
        <f t="shared" si="88"/>
        <v>42017.558333333334</v>
      </c>
      <c r="J120" s="10">
        <f t="shared" si="88"/>
        <v>41823.98333333333</v>
      </c>
      <c r="K120" s="10">
        <f t="shared" si="88"/>
        <v>41823.98333333333</v>
      </c>
      <c r="L120" s="10">
        <f t="shared" si="88"/>
        <v>53434.299999999996</v>
      </c>
      <c r="M120" s="10" t="e">
        <f>L120-#REF!</f>
        <v>#REF!</v>
      </c>
      <c r="N120" s="10">
        <f t="shared" si="81"/>
        <v>74.18329281786365</v>
      </c>
      <c r="O120" s="6">
        <f t="shared" si="82"/>
        <v>127.17135911633765</v>
      </c>
      <c r="P120" s="10">
        <f t="shared" si="83"/>
        <v>127.7599495345374</v>
      </c>
      <c r="Q120" s="6">
        <f t="shared" si="84"/>
        <v>11416.741666666661</v>
      </c>
      <c r="R120" s="10">
        <f t="shared" si="85"/>
        <v>11610.316666666666</v>
      </c>
      <c r="S120" s="321">
        <f t="shared" si="72"/>
        <v>0</v>
      </c>
      <c r="T120" s="322">
        <f t="shared" si="73"/>
        <v>0</v>
      </c>
      <c r="U120" s="322">
        <f t="shared" si="74"/>
        <v>0</v>
      </c>
      <c r="V120" s="322">
        <f t="shared" si="75"/>
        <v>0</v>
      </c>
      <c r="W120" s="323">
        <f t="shared" si="76"/>
        <v>0</v>
      </c>
      <c r="X120" s="322">
        <f t="shared" si="77"/>
        <v>0</v>
      </c>
    </row>
    <row r="121" spans="1:24" s="416" customFormat="1" ht="21.75" customHeight="1">
      <c r="A121" s="328" t="s">
        <v>89</v>
      </c>
      <c r="B121" s="320">
        <v>24000000</v>
      </c>
      <c r="C121" s="10">
        <f>C122+C125+C128</f>
        <v>7112.2</v>
      </c>
      <c r="D121" s="10">
        <f>D122+D125+D128</f>
        <v>3616.1</v>
      </c>
      <c r="E121" s="6">
        <f t="shared" si="78"/>
        <v>-1440.4</v>
      </c>
      <c r="F121" s="6">
        <f t="shared" si="79"/>
        <v>60.16703077901606</v>
      </c>
      <c r="G121" s="10">
        <f aca="true" t="shared" si="89" ref="G121:L121">G122+G125+G128</f>
        <v>1863.9</v>
      </c>
      <c r="H121" s="10">
        <f t="shared" si="89"/>
        <v>1087.275</v>
      </c>
      <c r="I121" s="10">
        <f t="shared" si="89"/>
        <v>1087.275</v>
      </c>
      <c r="J121" s="10">
        <f t="shared" si="89"/>
        <v>893.7</v>
      </c>
      <c r="K121" s="10">
        <f>K122+K125+K128</f>
        <v>893.7</v>
      </c>
      <c r="L121" s="10">
        <f t="shared" si="89"/>
        <v>2175.7</v>
      </c>
      <c r="M121" s="10" t="e">
        <f>L121-#REF!</f>
        <v>#REF!</v>
      </c>
      <c r="N121" s="62">
        <f t="shared" si="81"/>
        <v>116.72836525564674</v>
      </c>
      <c r="O121" s="6">
        <f t="shared" si="82"/>
        <v>200.10576900968013</v>
      </c>
      <c r="P121" s="62">
        <f t="shared" si="83"/>
        <v>243.44858453619779</v>
      </c>
      <c r="Q121" s="6">
        <f t="shared" si="84"/>
        <v>1088.4249999999997</v>
      </c>
      <c r="R121" s="10">
        <f t="shared" si="85"/>
        <v>1281.9999999999998</v>
      </c>
      <c r="S121" s="321">
        <f t="shared" si="72"/>
        <v>0</v>
      </c>
      <c r="T121" s="322">
        <f t="shared" si="73"/>
        <v>0</v>
      </c>
      <c r="U121" s="322">
        <f t="shared" si="74"/>
        <v>0</v>
      </c>
      <c r="V121" s="322">
        <f t="shared" si="75"/>
        <v>0</v>
      </c>
      <c r="W121" s="323">
        <f t="shared" si="76"/>
        <v>0</v>
      </c>
      <c r="X121" s="322">
        <f t="shared" si="77"/>
        <v>0</v>
      </c>
    </row>
    <row r="122" spans="1:24" s="413" customFormat="1" ht="18" customHeight="1">
      <c r="A122" s="339" t="s">
        <v>358</v>
      </c>
      <c r="B122" s="325">
        <v>24060000</v>
      </c>
      <c r="C122" s="7">
        <f>C124+C123</f>
        <v>376.9</v>
      </c>
      <c r="D122" s="7">
        <f>D123+D124</f>
        <v>138.9</v>
      </c>
      <c r="E122" s="25">
        <f t="shared" si="78"/>
        <v>571.2</v>
      </c>
      <c r="F122" s="25">
        <f t="shared" si="79"/>
        <v>511.23110151187905</v>
      </c>
      <c r="G122" s="7">
        <f aca="true" t="shared" si="90" ref="G122:L122">G124+G123</f>
        <v>280</v>
      </c>
      <c r="H122" s="7">
        <f t="shared" si="90"/>
        <v>163.33333333333331</v>
      </c>
      <c r="I122" s="7">
        <f t="shared" si="90"/>
        <v>163.33333333333334</v>
      </c>
      <c r="J122" s="7">
        <f t="shared" si="90"/>
        <v>123.4</v>
      </c>
      <c r="K122" s="7">
        <f t="shared" si="90"/>
        <v>123.4</v>
      </c>
      <c r="L122" s="7">
        <f t="shared" si="90"/>
        <v>710.1</v>
      </c>
      <c r="M122" s="7" t="e">
        <f>L122-#REF!</f>
        <v>#REF!</v>
      </c>
      <c r="N122" s="63">
        <f t="shared" si="81"/>
        <v>253.6071428571429</v>
      </c>
      <c r="O122" s="25">
        <f t="shared" si="82"/>
        <v>434.7551020408163</v>
      </c>
      <c r="P122" s="63">
        <f t="shared" si="83"/>
        <v>575.4457050243111</v>
      </c>
      <c r="Q122" s="25">
        <f t="shared" si="84"/>
        <v>546.7666666666667</v>
      </c>
      <c r="R122" s="7">
        <f t="shared" si="85"/>
        <v>586.7</v>
      </c>
      <c r="S122" s="321">
        <f t="shared" si="72"/>
        <v>0</v>
      </c>
      <c r="T122" s="322">
        <f t="shared" si="73"/>
        <v>0</v>
      </c>
      <c r="U122" s="322">
        <f t="shared" si="74"/>
        <v>0</v>
      </c>
      <c r="V122" s="322">
        <f t="shared" si="75"/>
        <v>0</v>
      </c>
      <c r="W122" s="323">
        <f t="shared" si="76"/>
        <v>0</v>
      </c>
      <c r="X122" s="322">
        <f t="shared" si="77"/>
        <v>0</v>
      </c>
    </row>
    <row r="123" spans="1:24" s="415" customFormat="1" ht="31.5">
      <c r="A123" s="375" t="s">
        <v>249</v>
      </c>
      <c r="B123" s="344">
        <v>24061600</v>
      </c>
      <c r="C123" s="22">
        <v>250</v>
      </c>
      <c r="D123" s="22">
        <v>124.8</v>
      </c>
      <c r="E123" s="36">
        <f t="shared" si="78"/>
        <v>-4.799999999999997</v>
      </c>
      <c r="F123" s="25">
        <f t="shared" si="79"/>
        <v>96.15384615384616</v>
      </c>
      <c r="G123" s="22">
        <v>250</v>
      </c>
      <c r="H123" s="22">
        <f>G123/12*7</f>
        <v>145.83333333333331</v>
      </c>
      <c r="I123" s="7">
        <f>G123/12*6+G123/12*22/22</f>
        <v>145.83333333333334</v>
      </c>
      <c r="J123" s="22">
        <v>120</v>
      </c>
      <c r="K123" s="22">
        <v>120</v>
      </c>
      <c r="L123" s="22">
        <v>120</v>
      </c>
      <c r="M123" s="3" t="e">
        <f>L123-#REF!</f>
        <v>#REF!</v>
      </c>
      <c r="N123" s="65">
        <f t="shared" si="81"/>
        <v>48</v>
      </c>
      <c r="O123" s="36">
        <f t="shared" si="82"/>
        <v>82.28571428571428</v>
      </c>
      <c r="P123" s="65">
        <f t="shared" si="83"/>
        <v>100</v>
      </c>
      <c r="Q123" s="36">
        <f t="shared" si="84"/>
        <v>-25.833333333333343</v>
      </c>
      <c r="R123" s="22">
        <f t="shared" si="85"/>
        <v>0</v>
      </c>
      <c r="S123" s="321">
        <f t="shared" si="72"/>
        <v>0</v>
      </c>
      <c r="T123" s="322">
        <f t="shared" si="73"/>
        <v>0</v>
      </c>
      <c r="U123" s="322">
        <f t="shared" si="74"/>
        <v>0</v>
      </c>
      <c r="V123" s="322">
        <f t="shared" si="75"/>
        <v>0</v>
      </c>
      <c r="W123" s="323">
        <f t="shared" si="76"/>
        <v>0</v>
      </c>
      <c r="X123" s="322">
        <f t="shared" si="77"/>
        <v>0</v>
      </c>
    </row>
    <row r="124" spans="1:24" s="415" customFormat="1" ht="63">
      <c r="A124" s="343" t="s">
        <v>250</v>
      </c>
      <c r="B124" s="344">
        <v>24062100</v>
      </c>
      <c r="C124" s="22">
        <v>126.9</v>
      </c>
      <c r="D124" s="22">
        <v>14.1</v>
      </c>
      <c r="E124" s="25">
        <f t="shared" si="78"/>
        <v>576</v>
      </c>
      <c r="F124" s="25">
        <f t="shared" si="79"/>
        <v>4185.106382978724</v>
      </c>
      <c r="G124" s="22">
        <v>30</v>
      </c>
      <c r="H124" s="22">
        <f>G124/12*7</f>
        <v>17.5</v>
      </c>
      <c r="I124" s="7">
        <f>G124/12*6+G124/12*22/22</f>
        <v>17.5</v>
      </c>
      <c r="J124" s="22">
        <v>3.4</v>
      </c>
      <c r="K124" s="22">
        <v>3.4</v>
      </c>
      <c r="L124" s="22">
        <v>590.1</v>
      </c>
      <c r="M124" s="3" t="e">
        <f>L124-#REF!</f>
        <v>#REF!</v>
      </c>
      <c r="N124" s="22">
        <f t="shared" si="81"/>
        <v>1967.0000000000002</v>
      </c>
      <c r="O124" s="22">
        <f t="shared" si="82"/>
        <v>3372</v>
      </c>
      <c r="P124" s="22">
        <f t="shared" si="83"/>
        <v>17355.88235294118</v>
      </c>
      <c r="Q124" s="22">
        <f t="shared" si="84"/>
        <v>572.6</v>
      </c>
      <c r="R124" s="7">
        <f t="shared" si="85"/>
        <v>586.7</v>
      </c>
      <c r="S124" s="321">
        <f t="shared" si="72"/>
        <v>0</v>
      </c>
      <c r="T124" s="322">
        <f t="shared" si="73"/>
        <v>0</v>
      </c>
      <c r="U124" s="322">
        <f t="shared" si="74"/>
        <v>0</v>
      </c>
      <c r="V124" s="322">
        <f t="shared" si="75"/>
        <v>0</v>
      </c>
      <c r="W124" s="323">
        <f t="shared" si="76"/>
        <v>0</v>
      </c>
      <c r="X124" s="322">
        <f t="shared" si="77"/>
        <v>0</v>
      </c>
    </row>
    <row r="125" spans="1:24" s="416" customFormat="1" ht="31.5">
      <c r="A125" s="331" t="s">
        <v>251</v>
      </c>
      <c r="B125" s="332">
        <v>24110000</v>
      </c>
      <c r="C125" s="10">
        <f>C127+C126</f>
        <v>179.9</v>
      </c>
      <c r="D125" s="10">
        <f>D126+D127</f>
        <v>125.3</v>
      </c>
      <c r="E125" s="6">
        <f t="shared" si="78"/>
        <v>-68.69999999999999</v>
      </c>
      <c r="F125" s="6">
        <f t="shared" si="79"/>
        <v>45.17158818834797</v>
      </c>
      <c r="G125" s="10">
        <f aca="true" t="shared" si="91" ref="G125:L125">G127+G126</f>
        <v>19.9</v>
      </c>
      <c r="H125" s="10">
        <f t="shared" si="91"/>
        <v>11.608333333333333</v>
      </c>
      <c r="I125" s="10">
        <f t="shared" si="91"/>
        <v>11.608333333333333</v>
      </c>
      <c r="J125" s="10">
        <f t="shared" si="91"/>
        <v>6.3</v>
      </c>
      <c r="K125" s="10">
        <f t="shared" si="91"/>
        <v>6.3</v>
      </c>
      <c r="L125" s="10">
        <f t="shared" si="91"/>
        <v>56.6</v>
      </c>
      <c r="M125" s="10" t="e">
        <f>L125-#REF!</f>
        <v>#REF!</v>
      </c>
      <c r="N125" s="62">
        <f t="shared" si="81"/>
        <v>284.42211055276385</v>
      </c>
      <c r="O125" s="6">
        <f t="shared" si="82"/>
        <v>487.58076094759514</v>
      </c>
      <c r="P125" s="62">
        <f t="shared" si="83"/>
        <v>898.4126984126984</v>
      </c>
      <c r="Q125" s="6">
        <f t="shared" si="84"/>
        <v>44.99166666666667</v>
      </c>
      <c r="R125" s="10">
        <f t="shared" si="85"/>
        <v>50.300000000000004</v>
      </c>
      <c r="S125" s="321">
        <f t="shared" si="72"/>
        <v>0</v>
      </c>
      <c r="T125" s="322">
        <f t="shared" si="73"/>
        <v>0</v>
      </c>
      <c r="U125" s="322">
        <f t="shared" si="74"/>
        <v>0</v>
      </c>
      <c r="V125" s="322">
        <f t="shared" si="75"/>
        <v>0</v>
      </c>
      <c r="W125" s="323">
        <f t="shared" si="76"/>
        <v>0</v>
      </c>
      <c r="X125" s="322">
        <f t="shared" si="77"/>
        <v>0</v>
      </c>
    </row>
    <row r="126" spans="1:24" s="414" customFormat="1" ht="31.5">
      <c r="A126" s="376" t="s">
        <v>252</v>
      </c>
      <c r="B126" s="314">
        <v>24110600</v>
      </c>
      <c r="C126" s="7">
        <v>166.9</v>
      </c>
      <c r="D126" s="7">
        <v>121.1</v>
      </c>
      <c r="E126" s="25">
        <f t="shared" si="78"/>
        <v>-76.39999999999999</v>
      </c>
      <c r="F126" s="25">
        <f t="shared" si="79"/>
        <v>36.911643270024776</v>
      </c>
      <c r="G126" s="7"/>
      <c r="H126" s="7">
        <f>ROUND(G126*$T$6,1)</f>
        <v>0</v>
      </c>
      <c r="I126" s="7">
        <f>ROUND(G126*$T$7+G126*$T$8,1)</f>
        <v>0</v>
      </c>
      <c r="J126" s="7">
        <v>0</v>
      </c>
      <c r="K126" s="7">
        <v>0</v>
      </c>
      <c r="L126" s="7">
        <v>44.7</v>
      </c>
      <c r="M126" s="3" t="e">
        <f>L126-#REF!</f>
        <v>#REF!</v>
      </c>
      <c r="N126" s="341" t="e">
        <f t="shared" si="81"/>
        <v>#DIV/0!</v>
      </c>
      <c r="O126" s="341" t="e">
        <f t="shared" si="82"/>
        <v>#DIV/0!</v>
      </c>
      <c r="P126" s="372" t="e">
        <f t="shared" si="83"/>
        <v>#DIV/0!</v>
      </c>
      <c r="Q126" s="25">
        <f t="shared" si="84"/>
        <v>44.7</v>
      </c>
      <c r="R126" s="7">
        <f t="shared" si="85"/>
        <v>44.7</v>
      </c>
      <c r="S126" s="321">
        <f t="shared" si="72"/>
        <v>0</v>
      </c>
      <c r="T126" s="322">
        <f t="shared" si="73"/>
        <v>0</v>
      </c>
      <c r="U126" s="322" t="e">
        <f t="shared" si="74"/>
        <v>#DIV/0!</v>
      </c>
      <c r="V126" s="322" t="e">
        <f t="shared" si="75"/>
        <v>#DIV/0!</v>
      </c>
      <c r="W126" s="323">
        <f t="shared" si="76"/>
        <v>0</v>
      </c>
      <c r="X126" s="322">
        <f t="shared" si="77"/>
        <v>0</v>
      </c>
    </row>
    <row r="127" spans="1:24" s="415" customFormat="1" ht="97.5" customHeight="1">
      <c r="A127" s="385" t="s">
        <v>253</v>
      </c>
      <c r="B127" s="426">
        <v>24110900</v>
      </c>
      <c r="C127" s="22">
        <v>13</v>
      </c>
      <c r="D127" s="22">
        <v>4.2</v>
      </c>
      <c r="E127" s="25">
        <f t="shared" si="78"/>
        <v>7.7</v>
      </c>
      <c r="F127" s="25">
        <f t="shared" si="79"/>
        <v>283.33333333333337</v>
      </c>
      <c r="G127" s="22">
        <v>19.9</v>
      </c>
      <c r="H127" s="22">
        <f>G127/12*7</f>
        <v>11.608333333333333</v>
      </c>
      <c r="I127" s="7">
        <f>G127/12*6+G127/12*22/22</f>
        <v>11.608333333333333</v>
      </c>
      <c r="J127" s="22">
        <v>6.3</v>
      </c>
      <c r="K127" s="22">
        <v>6.3</v>
      </c>
      <c r="L127" s="22">
        <v>11.9</v>
      </c>
      <c r="M127" s="3" t="e">
        <f>L127-#REF!</f>
        <v>#REF!</v>
      </c>
      <c r="N127" s="65">
        <f t="shared" si="81"/>
        <v>59.798994974874375</v>
      </c>
      <c r="O127" s="25">
        <f t="shared" si="82"/>
        <v>102.51256281407035</v>
      </c>
      <c r="P127" s="65">
        <f t="shared" si="83"/>
        <v>188.8888888888889</v>
      </c>
      <c r="Q127" s="25">
        <f t="shared" si="84"/>
        <v>0.29166666666666785</v>
      </c>
      <c r="R127" s="7">
        <f t="shared" si="85"/>
        <v>5.6000000000000005</v>
      </c>
      <c r="S127" s="321">
        <f t="shared" si="72"/>
        <v>0</v>
      </c>
      <c r="T127" s="322">
        <f t="shared" si="73"/>
        <v>0</v>
      </c>
      <c r="U127" s="322">
        <f t="shared" si="74"/>
        <v>0</v>
      </c>
      <c r="V127" s="322">
        <f t="shared" si="75"/>
        <v>0</v>
      </c>
      <c r="W127" s="323">
        <f t="shared" si="76"/>
        <v>0</v>
      </c>
      <c r="X127" s="322">
        <f t="shared" si="77"/>
        <v>0</v>
      </c>
    </row>
    <row r="128" spans="1:24" s="416" customFormat="1" ht="31.5">
      <c r="A128" s="331" t="s">
        <v>254</v>
      </c>
      <c r="B128" s="332">
        <v>24170000</v>
      </c>
      <c r="C128" s="10">
        <v>6555.4</v>
      </c>
      <c r="D128" s="10">
        <v>3351.9</v>
      </c>
      <c r="E128" s="6">
        <f t="shared" si="78"/>
        <v>-1942.9</v>
      </c>
      <c r="F128" s="6">
        <f t="shared" si="79"/>
        <v>42.03586025836093</v>
      </c>
      <c r="G128" s="10">
        <f>1300+264</f>
        <v>1564</v>
      </c>
      <c r="H128" s="10">
        <f>G128/12*7</f>
        <v>912.3333333333334</v>
      </c>
      <c r="I128" s="10">
        <f>G128/12*6+G128/12*22/22</f>
        <v>912.3333333333334</v>
      </c>
      <c r="J128" s="10">
        <v>764</v>
      </c>
      <c r="K128" s="10">
        <v>764</v>
      </c>
      <c r="L128" s="10">
        <v>1409</v>
      </c>
      <c r="M128" s="9" t="e">
        <f>L128-#REF!</f>
        <v>#REF!</v>
      </c>
      <c r="N128" s="62">
        <f t="shared" si="81"/>
        <v>90.08951406649616</v>
      </c>
      <c r="O128" s="6">
        <f t="shared" si="82"/>
        <v>154.43916697113627</v>
      </c>
      <c r="P128" s="62">
        <f t="shared" si="83"/>
        <v>184.4240837696335</v>
      </c>
      <c r="Q128" s="6">
        <f t="shared" si="84"/>
        <v>496.66666666666663</v>
      </c>
      <c r="R128" s="10">
        <f t="shared" si="85"/>
        <v>645</v>
      </c>
      <c r="S128" s="321">
        <f t="shared" si="72"/>
        <v>0</v>
      </c>
      <c r="T128" s="322">
        <f t="shared" si="73"/>
        <v>0</v>
      </c>
      <c r="U128" s="322">
        <f t="shared" si="74"/>
        <v>0</v>
      </c>
      <c r="V128" s="322">
        <f t="shared" si="75"/>
        <v>0</v>
      </c>
      <c r="W128" s="323">
        <f t="shared" si="76"/>
        <v>0</v>
      </c>
      <c r="X128" s="322">
        <f t="shared" si="77"/>
        <v>0</v>
      </c>
    </row>
    <row r="129" spans="1:24" s="416" customFormat="1" ht="20.25">
      <c r="A129" s="386" t="s">
        <v>255</v>
      </c>
      <c r="B129" s="320">
        <v>25000000</v>
      </c>
      <c r="C129" s="10">
        <v>66717.7</v>
      </c>
      <c r="D129" s="10">
        <v>33510.7</v>
      </c>
      <c r="E129" s="6">
        <f t="shared" si="78"/>
        <v>17747.9</v>
      </c>
      <c r="F129" s="6">
        <f t="shared" si="79"/>
        <v>152.9618897844569</v>
      </c>
      <c r="G129" s="10">
        <v>70166.2</v>
      </c>
      <c r="H129" s="10">
        <f>G129/12*7</f>
        <v>40930.28333333333</v>
      </c>
      <c r="I129" s="10">
        <f>G129/12*6+G129/12*22/22</f>
        <v>40930.28333333333</v>
      </c>
      <c r="J129" s="10">
        <f>H129</f>
        <v>40930.28333333333</v>
      </c>
      <c r="K129" s="10">
        <f>I129</f>
        <v>40930.28333333333</v>
      </c>
      <c r="L129" s="10">
        <v>51258.6</v>
      </c>
      <c r="M129" s="9" t="e">
        <f>L129-#REF!</f>
        <v>#REF!</v>
      </c>
      <c r="N129" s="62">
        <f t="shared" si="81"/>
        <v>73.05312244356969</v>
      </c>
      <c r="O129" s="6">
        <f t="shared" si="82"/>
        <v>125.2339241889766</v>
      </c>
      <c r="P129" s="62">
        <f t="shared" si="83"/>
        <v>125.2339241889766</v>
      </c>
      <c r="Q129" s="6">
        <f t="shared" si="84"/>
        <v>10328.316666666666</v>
      </c>
      <c r="R129" s="10">
        <f t="shared" si="85"/>
        <v>10328.316666666666</v>
      </c>
      <c r="S129" s="321">
        <f t="shared" si="72"/>
        <v>0</v>
      </c>
      <c r="T129" s="322">
        <f t="shared" si="73"/>
        <v>0</v>
      </c>
      <c r="U129" s="322">
        <f t="shared" si="74"/>
        <v>0</v>
      </c>
      <c r="V129" s="322">
        <f t="shared" si="75"/>
        <v>0</v>
      </c>
      <c r="W129" s="323">
        <f t="shared" si="76"/>
        <v>0</v>
      </c>
      <c r="X129" s="322">
        <f t="shared" si="77"/>
        <v>0</v>
      </c>
    </row>
    <row r="130" spans="1:24" s="416" customFormat="1" ht="20.25">
      <c r="A130" s="386" t="s">
        <v>256</v>
      </c>
      <c r="B130" s="320">
        <v>30000000</v>
      </c>
      <c r="C130" s="10">
        <f>C131+C133</f>
        <v>5989.4</v>
      </c>
      <c r="D130" s="10">
        <f>D131+D133</f>
        <v>3909.2999999999997</v>
      </c>
      <c r="E130" s="6">
        <f t="shared" si="78"/>
        <v>-578.2999999999997</v>
      </c>
      <c r="F130" s="6">
        <f t="shared" si="79"/>
        <v>85.20707031949455</v>
      </c>
      <c r="G130" s="10">
        <f aca="true" t="shared" si="92" ref="G130:L130">G131+G133</f>
        <v>3950</v>
      </c>
      <c r="H130" s="10">
        <f t="shared" si="92"/>
        <v>2304.166666666667</v>
      </c>
      <c r="I130" s="10">
        <f t="shared" si="92"/>
        <v>2304.1666666666665</v>
      </c>
      <c r="J130" s="10">
        <f t="shared" si="92"/>
        <v>2550</v>
      </c>
      <c r="K130" s="10">
        <f>K131+K133</f>
        <v>2550</v>
      </c>
      <c r="L130" s="10">
        <f t="shared" si="92"/>
        <v>3331</v>
      </c>
      <c r="M130" s="10" t="e">
        <f>L130-#REF!</f>
        <v>#REF!</v>
      </c>
      <c r="N130" s="10">
        <f t="shared" si="81"/>
        <v>84.32911392405063</v>
      </c>
      <c r="O130" s="6">
        <f t="shared" si="82"/>
        <v>144.5641952983725</v>
      </c>
      <c r="P130" s="10">
        <f t="shared" si="83"/>
        <v>130.62745098039215</v>
      </c>
      <c r="Q130" s="6">
        <f t="shared" si="84"/>
        <v>1026.8333333333335</v>
      </c>
      <c r="R130" s="10">
        <f t="shared" si="85"/>
        <v>781</v>
      </c>
      <c r="S130" s="321">
        <f t="shared" si="72"/>
        <v>0</v>
      </c>
      <c r="T130" s="322">
        <f t="shared" si="73"/>
        <v>0</v>
      </c>
      <c r="U130" s="322">
        <f t="shared" si="74"/>
        <v>0</v>
      </c>
      <c r="V130" s="322">
        <f t="shared" si="75"/>
        <v>0</v>
      </c>
      <c r="W130" s="323">
        <f t="shared" si="76"/>
        <v>0</v>
      </c>
      <c r="X130" s="322">
        <f t="shared" si="77"/>
        <v>0</v>
      </c>
    </row>
    <row r="131" spans="1:24" s="416" customFormat="1" ht="31.5">
      <c r="A131" s="326" t="s">
        <v>360</v>
      </c>
      <c r="B131" s="320">
        <v>31000000</v>
      </c>
      <c r="C131" s="10">
        <f>C132</f>
        <v>4888.3</v>
      </c>
      <c r="D131" s="10">
        <f>D132</f>
        <v>2998.7</v>
      </c>
      <c r="E131" s="6">
        <f t="shared" si="78"/>
        <v>326.3000000000002</v>
      </c>
      <c r="F131" s="6">
        <f t="shared" si="79"/>
        <v>110.88138193217061</v>
      </c>
      <c r="G131" s="10">
        <f aca="true" t="shared" si="93" ref="G131:L131">G132</f>
        <v>3000</v>
      </c>
      <c r="H131" s="10">
        <f t="shared" si="93"/>
        <v>1750</v>
      </c>
      <c r="I131" s="10">
        <f t="shared" si="93"/>
        <v>1750</v>
      </c>
      <c r="J131" s="10">
        <f t="shared" si="93"/>
        <v>2550</v>
      </c>
      <c r="K131" s="10">
        <f t="shared" si="93"/>
        <v>2550</v>
      </c>
      <c r="L131" s="10">
        <f t="shared" si="93"/>
        <v>3325</v>
      </c>
      <c r="M131" s="10" t="e">
        <f>L131-#REF!</f>
        <v>#REF!</v>
      </c>
      <c r="N131" s="62">
        <f t="shared" si="81"/>
        <v>110.83333333333334</v>
      </c>
      <c r="O131" s="6">
        <f t="shared" si="82"/>
        <v>190</v>
      </c>
      <c r="P131" s="62">
        <f t="shared" si="83"/>
        <v>130.3921568627451</v>
      </c>
      <c r="Q131" s="6">
        <f t="shared" si="84"/>
        <v>1575</v>
      </c>
      <c r="R131" s="10">
        <f t="shared" si="85"/>
        <v>775</v>
      </c>
      <c r="S131" s="321">
        <f t="shared" si="72"/>
        <v>0</v>
      </c>
      <c r="T131" s="322">
        <f t="shared" si="73"/>
        <v>0</v>
      </c>
      <c r="U131" s="322">
        <f t="shared" si="74"/>
        <v>0</v>
      </c>
      <c r="V131" s="322">
        <f t="shared" si="75"/>
        <v>0</v>
      </c>
      <c r="W131" s="323">
        <f t="shared" si="76"/>
        <v>0</v>
      </c>
      <c r="X131" s="322">
        <f t="shared" si="77"/>
        <v>0</v>
      </c>
    </row>
    <row r="132" spans="1:24" s="413" customFormat="1" ht="47.25">
      <c r="A132" s="387" t="s">
        <v>257</v>
      </c>
      <c r="B132" s="325">
        <v>31030000</v>
      </c>
      <c r="C132" s="7">
        <v>4888.3</v>
      </c>
      <c r="D132" s="7">
        <v>2998.7</v>
      </c>
      <c r="E132" s="25">
        <f t="shared" si="78"/>
        <v>326.3000000000002</v>
      </c>
      <c r="F132" s="25">
        <f t="shared" si="79"/>
        <v>110.88138193217061</v>
      </c>
      <c r="G132" s="7">
        <f>1000+2000</f>
        <v>3000</v>
      </c>
      <c r="H132" s="7">
        <f>G132/12*7</f>
        <v>1750</v>
      </c>
      <c r="I132" s="7">
        <f>G132/12*6+G132/12*22/22</f>
        <v>1750</v>
      </c>
      <c r="J132" s="7">
        <v>2550</v>
      </c>
      <c r="K132" s="7">
        <v>2550</v>
      </c>
      <c r="L132" s="7">
        <v>3325</v>
      </c>
      <c r="M132" s="3" t="e">
        <f>L132-#REF!</f>
        <v>#REF!</v>
      </c>
      <c r="N132" s="63">
        <f t="shared" si="81"/>
        <v>110.83333333333334</v>
      </c>
      <c r="O132" s="25">
        <f t="shared" si="82"/>
        <v>190</v>
      </c>
      <c r="P132" s="63">
        <f t="shared" si="83"/>
        <v>130.3921568627451</v>
      </c>
      <c r="Q132" s="25">
        <f t="shared" si="84"/>
        <v>1575</v>
      </c>
      <c r="R132" s="7">
        <f t="shared" si="85"/>
        <v>775</v>
      </c>
      <c r="S132" s="321">
        <f t="shared" si="72"/>
        <v>0</v>
      </c>
      <c r="T132" s="322">
        <f t="shared" si="73"/>
        <v>0</v>
      </c>
      <c r="U132" s="322">
        <f t="shared" si="74"/>
        <v>0</v>
      </c>
      <c r="V132" s="322">
        <f t="shared" si="75"/>
        <v>0</v>
      </c>
      <c r="W132" s="323">
        <f t="shared" si="76"/>
        <v>0</v>
      </c>
      <c r="X132" s="322">
        <f t="shared" si="77"/>
        <v>0</v>
      </c>
    </row>
    <row r="133" spans="1:24" s="416" customFormat="1" ht="31.5">
      <c r="A133" s="326" t="s">
        <v>258</v>
      </c>
      <c r="B133" s="320">
        <v>33000000</v>
      </c>
      <c r="C133" s="10">
        <f>C134</f>
        <v>1101.1</v>
      </c>
      <c r="D133" s="10">
        <f>D134</f>
        <v>910.6</v>
      </c>
      <c r="E133" s="6">
        <f t="shared" si="78"/>
        <v>-904.6</v>
      </c>
      <c r="F133" s="6">
        <f t="shared" si="79"/>
        <v>0.6589062156819679</v>
      </c>
      <c r="G133" s="10">
        <f aca="true" t="shared" si="94" ref="G133:L134">G134</f>
        <v>950</v>
      </c>
      <c r="H133" s="10">
        <f t="shared" si="94"/>
        <v>554.1666666666667</v>
      </c>
      <c r="I133" s="10">
        <f t="shared" si="94"/>
        <v>554.1666666666666</v>
      </c>
      <c r="J133" s="10">
        <f t="shared" si="94"/>
        <v>0</v>
      </c>
      <c r="K133" s="10">
        <f t="shared" si="94"/>
        <v>0</v>
      </c>
      <c r="L133" s="10">
        <f t="shared" si="94"/>
        <v>6</v>
      </c>
      <c r="M133" s="10" t="e">
        <f>L133-#REF!</f>
        <v>#REF!</v>
      </c>
      <c r="N133" s="62">
        <f t="shared" si="81"/>
        <v>0.631578947368421</v>
      </c>
      <c r="O133" s="6">
        <f t="shared" si="82"/>
        <v>1.0827067669172934</v>
      </c>
      <c r="P133" s="373" t="e">
        <f t="shared" si="83"/>
        <v>#DIV/0!</v>
      </c>
      <c r="Q133" s="6">
        <f t="shared" si="84"/>
        <v>-548.1666666666666</v>
      </c>
      <c r="R133" s="10">
        <f t="shared" si="85"/>
        <v>6</v>
      </c>
      <c r="S133" s="321">
        <f t="shared" si="72"/>
        <v>0</v>
      </c>
      <c r="T133" s="322">
        <f t="shared" si="73"/>
        <v>0</v>
      </c>
      <c r="U133" s="322">
        <f t="shared" si="74"/>
        <v>0</v>
      </c>
      <c r="V133" s="322">
        <f t="shared" si="75"/>
        <v>0</v>
      </c>
      <c r="W133" s="323">
        <f t="shared" si="76"/>
        <v>0</v>
      </c>
      <c r="X133" s="322">
        <f t="shared" si="77"/>
        <v>0</v>
      </c>
    </row>
    <row r="134" spans="1:24" s="414" customFormat="1" ht="20.25">
      <c r="A134" s="342" t="s">
        <v>259</v>
      </c>
      <c r="B134" s="325">
        <v>33010000</v>
      </c>
      <c r="C134" s="7">
        <f>C135</f>
        <v>1101.1</v>
      </c>
      <c r="D134" s="7">
        <f>D135</f>
        <v>910.6</v>
      </c>
      <c r="E134" s="25">
        <f t="shared" si="78"/>
        <v>-904.6</v>
      </c>
      <c r="F134" s="25">
        <f t="shared" si="79"/>
        <v>0.6589062156819679</v>
      </c>
      <c r="G134" s="7">
        <f t="shared" si="94"/>
        <v>950</v>
      </c>
      <c r="H134" s="7">
        <f t="shared" si="94"/>
        <v>554.1666666666667</v>
      </c>
      <c r="I134" s="7">
        <f t="shared" si="94"/>
        <v>554.1666666666666</v>
      </c>
      <c r="J134" s="7">
        <f t="shared" si="94"/>
        <v>0</v>
      </c>
      <c r="K134" s="7">
        <f t="shared" si="94"/>
        <v>0</v>
      </c>
      <c r="L134" s="7">
        <f t="shared" si="94"/>
        <v>6</v>
      </c>
      <c r="M134" s="7" t="e">
        <f>L134-#REF!</f>
        <v>#REF!</v>
      </c>
      <c r="N134" s="63">
        <f t="shared" si="81"/>
        <v>0.631578947368421</v>
      </c>
      <c r="O134" s="25">
        <f t="shared" si="82"/>
        <v>1.0827067669172934</v>
      </c>
      <c r="P134" s="372" t="e">
        <f t="shared" si="83"/>
        <v>#DIV/0!</v>
      </c>
      <c r="Q134" s="25">
        <f t="shared" si="84"/>
        <v>-548.1666666666666</v>
      </c>
      <c r="R134" s="7">
        <f t="shared" si="85"/>
        <v>6</v>
      </c>
      <c r="S134" s="321">
        <f t="shared" si="72"/>
        <v>0</v>
      </c>
      <c r="T134" s="322">
        <f t="shared" si="73"/>
        <v>0</v>
      </c>
      <c r="U134" s="322">
        <f t="shared" si="74"/>
        <v>0</v>
      </c>
      <c r="V134" s="322">
        <f t="shared" si="75"/>
        <v>0</v>
      </c>
      <c r="W134" s="323">
        <f t="shared" si="76"/>
        <v>0</v>
      </c>
      <c r="X134" s="322">
        <f t="shared" si="77"/>
        <v>0</v>
      </c>
    </row>
    <row r="135" spans="1:24" s="415" customFormat="1" ht="94.5">
      <c r="A135" s="388" t="s">
        <v>108</v>
      </c>
      <c r="B135" s="344">
        <v>33010100</v>
      </c>
      <c r="C135" s="22">
        <v>1101.1</v>
      </c>
      <c r="D135" s="22">
        <v>910.6</v>
      </c>
      <c r="E135" s="36">
        <f t="shared" si="78"/>
        <v>-904.6</v>
      </c>
      <c r="F135" s="36">
        <f t="shared" si="79"/>
        <v>0.6589062156819679</v>
      </c>
      <c r="G135" s="22">
        <v>950</v>
      </c>
      <c r="H135" s="22">
        <f>G135/12*7</f>
        <v>554.1666666666667</v>
      </c>
      <c r="I135" s="22">
        <f>G135/12*6+G135/12*22/22</f>
        <v>554.1666666666666</v>
      </c>
      <c r="J135" s="22">
        <v>0</v>
      </c>
      <c r="K135" s="22">
        <v>0</v>
      </c>
      <c r="L135" s="22">
        <v>6</v>
      </c>
      <c r="M135" s="7" t="e">
        <f>L135-#REF!</f>
        <v>#REF!</v>
      </c>
      <c r="N135" s="65">
        <f t="shared" si="81"/>
        <v>0.631578947368421</v>
      </c>
      <c r="O135" s="36">
        <f t="shared" si="82"/>
        <v>1.0827067669172934</v>
      </c>
      <c r="P135" s="372" t="e">
        <f t="shared" si="83"/>
        <v>#DIV/0!</v>
      </c>
      <c r="Q135" s="36">
        <f t="shared" si="84"/>
        <v>-548.1666666666666</v>
      </c>
      <c r="R135" s="22">
        <f t="shared" si="85"/>
        <v>6</v>
      </c>
      <c r="S135" s="321">
        <f t="shared" si="72"/>
        <v>0</v>
      </c>
      <c r="T135" s="322">
        <f t="shared" si="73"/>
        <v>0</v>
      </c>
      <c r="U135" s="322">
        <f t="shared" si="74"/>
        <v>0</v>
      </c>
      <c r="V135" s="322">
        <f t="shared" si="75"/>
        <v>0</v>
      </c>
      <c r="W135" s="323">
        <f t="shared" si="76"/>
        <v>0</v>
      </c>
      <c r="X135" s="322">
        <f t="shared" si="77"/>
        <v>0</v>
      </c>
    </row>
    <row r="136" spans="1:24" s="416" customFormat="1" ht="19.5" customHeight="1">
      <c r="A136" s="328" t="s">
        <v>98</v>
      </c>
      <c r="B136" s="320">
        <v>40000000</v>
      </c>
      <c r="C136" s="10">
        <f>C137</f>
        <v>19354.4</v>
      </c>
      <c r="D136" s="10">
        <f>D137</f>
        <v>225.2</v>
      </c>
      <c r="E136" s="6">
        <f t="shared" si="78"/>
        <v>25986.899999999998</v>
      </c>
      <c r="F136" s="6">
        <f t="shared" si="79"/>
        <v>11639.476021314387</v>
      </c>
      <c r="G136" s="10">
        <f aca="true" t="shared" si="95" ref="G136:L137">G137</f>
        <v>49145</v>
      </c>
      <c r="H136" s="10">
        <f t="shared" si="95"/>
        <v>28667.9</v>
      </c>
      <c r="I136" s="10">
        <f t="shared" si="95"/>
        <v>28667.916666666668</v>
      </c>
      <c r="J136" s="10">
        <f t="shared" si="95"/>
        <v>26212.1</v>
      </c>
      <c r="K136" s="10">
        <f t="shared" si="95"/>
        <v>26212.1</v>
      </c>
      <c r="L136" s="10">
        <f t="shared" si="95"/>
        <v>26212.1</v>
      </c>
      <c r="M136" s="10" t="e">
        <f>L136-#REF!</f>
        <v>#REF!</v>
      </c>
      <c r="N136" s="62">
        <f t="shared" si="81"/>
        <v>53.33624987282531</v>
      </c>
      <c r="O136" s="6">
        <f t="shared" si="82"/>
        <v>91.43357121055767</v>
      </c>
      <c r="P136" s="62">
        <f t="shared" si="83"/>
        <v>100</v>
      </c>
      <c r="Q136" s="6">
        <f t="shared" si="84"/>
        <v>-2455.8166666666693</v>
      </c>
      <c r="R136" s="10">
        <f t="shared" si="85"/>
        <v>0</v>
      </c>
      <c r="S136" s="321">
        <f t="shared" si="72"/>
        <v>0</v>
      </c>
      <c r="T136" s="322">
        <f t="shared" si="73"/>
        <v>0</v>
      </c>
      <c r="U136" s="322">
        <f t="shared" si="74"/>
        <v>0</v>
      </c>
      <c r="V136" s="322">
        <f t="shared" si="75"/>
        <v>0</v>
      </c>
      <c r="W136" s="323">
        <f t="shared" si="76"/>
        <v>-0.016666666666424135</v>
      </c>
      <c r="X136" s="322">
        <f t="shared" si="77"/>
        <v>0</v>
      </c>
    </row>
    <row r="137" spans="1:24" s="416" customFormat="1" ht="22.5" customHeight="1">
      <c r="A137" s="326" t="s">
        <v>99</v>
      </c>
      <c r="B137" s="320">
        <v>41000000</v>
      </c>
      <c r="C137" s="10">
        <f>C138</f>
        <v>19354.4</v>
      </c>
      <c r="D137" s="10">
        <f>D138</f>
        <v>225.2</v>
      </c>
      <c r="E137" s="6">
        <f t="shared" si="78"/>
        <v>25986.899999999998</v>
      </c>
      <c r="F137" s="6">
        <f t="shared" si="79"/>
        <v>11639.476021314387</v>
      </c>
      <c r="G137" s="10">
        <f>G138</f>
        <v>49145</v>
      </c>
      <c r="H137" s="10">
        <f t="shared" si="95"/>
        <v>28667.9</v>
      </c>
      <c r="I137" s="10">
        <f t="shared" si="95"/>
        <v>28667.916666666668</v>
      </c>
      <c r="J137" s="10">
        <f t="shared" si="95"/>
        <v>26212.1</v>
      </c>
      <c r="K137" s="10">
        <f t="shared" si="95"/>
        <v>26212.1</v>
      </c>
      <c r="L137" s="10">
        <f t="shared" si="95"/>
        <v>26212.1</v>
      </c>
      <c r="M137" s="10" t="e">
        <f>L137-#REF!</f>
        <v>#REF!</v>
      </c>
      <c r="N137" s="62">
        <f t="shared" si="81"/>
        <v>53.33624987282531</v>
      </c>
      <c r="O137" s="6">
        <f t="shared" si="82"/>
        <v>91.43357121055767</v>
      </c>
      <c r="P137" s="62">
        <f t="shared" si="83"/>
        <v>100</v>
      </c>
      <c r="Q137" s="6">
        <f t="shared" si="84"/>
        <v>-2455.8166666666693</v>
      </c>
      <c r="R137" s="10">
        <f t="shared" si="85"/>
        <v>0</v>
      </c>
      <c r="S137" s="321">
        <f t="shared" si="72"/>
        <v>0</v>
      </c>
      <c r="T137" s="322">
        <f t="shared" si="73"/>
        <v>0</v>
      </c>
      <c r="U137" s="322">
        <f t="shared" si="74"/>
        <v>0</v>
      </c>
      <c r="V137" s="322">
        <f t="shared" si="75"/>
        <v>0</v>
      </c>
      <c r="W137" s="323">
        <f t="shared" si="76"/>
        <v>-0.016666666666424135</v>
      </c>
      <c r="X137" s="322">
        <f t="shared" si="77"/>
        <v>0</v>
      </c>
    </row>
    <row r="138" spans="1:24" s="416" customFormat="1" ht="31.5">
      <c r="A138" s="328" t="s">
        <v>335</v>
      </c>
      <c r="B138" s="320">
        <v>41050000</v>
      </c>
      <c r="C138" s="10">
        <f>C143+C141</f>
        <v>19354.4</v>
      </c>
      <c r="D138" s="10">
        <f>D143+D141+D139+D142</f>
        <v>225.2</v>
      </c>
      <c r="E138" s="6">
        <f t="shared" si="78"/>
        <v>25986.899999999998</v>
      </c>
      <c r="F138" s="6">
        <f t="shared" si="79"/>
        <v>11639.476021314387</v>
      </c>
      <c r="G138" s="10">
        <f aca="true" t="shared" si="96" ref="G138:L138">G143+G141+G139+G142</f>
        <v>49145</v>
      </c>
      <c r="H138" s="10">
        <f t="shared" si="96"/>
        <v>28667.9</v>
      </c>
      <c r="I138" s="10">
        <f t="shared" si="96"/>
        <v>28667.916666666668</v>
      </c>
      <c r="J138" s="10">
        <f t="shared" si="96"/>
        <v>26212.1</v>
      </c>
      <c r="K138" s="10">
        <f t="shared" si="96"/>
        <v>26212.1</v>
      </c>
      <c r="L138" s="10">
        <f t="shared" si="96"/>
        <v>26212.1</v>
      </c>
      <c r="M138" s="10" t="e">
        <f>L138-#REF!</f>
        <v>#REF!</v>
      </c>
      <c r="N138" s="62">
        <f t="shared" si="81"/>
        <v>53.33624987282531</v>
      </c>
      <c r="O138" s="6">
        <f t="shared" si="82"/>
        <v>91.43357121055767</v>
      </c>
      <c r="P138" s="62">
        <f t="shared" si="83"/>
        <v>100</v>
      </c>
      <c r="Q138" s="6">
        <f t="shared" si="84"/>
        <v>-2455.8166666666693</v>
      </c>
      <c r="R138" s="10">
        <f t="shared" si="85"/>
        <v>0</v>
      </c>
      <c r="S138" s="321">
        <f t="shared" si="72"/>
        <v>0</v>
      </c>
      <c r="T138" s="322">
        <f t="shared" si="73"/>
        <v>0</v>
      </c>
      <c r="U138" s="322">
        <f t="shared" si="74"/>
        <v>0</v>
      </c>
      <c r="V138" s="322">
        <f t="shared" si="75"/>
        <v>0</v>
      </c>
      <c r="W138" s="323">
        <f t="shared" si="76"/>
        <v>-0.016666666666424135</v>
      </c>
      <c r="X138" s="322">
        <f t="shared" si="77"/>
        <v>0</v>
      </c>
    </row>
    <row r="139" spans="1:24" s="414" customFormat="1" ht="47.25">
      <c r="A139" s="342" t="s">
        <v>20</v>
      </c>
      <c r="B139" s="325">
        <v>41051100</v>
      </c>
      <c r="C139" s="7"/>
      <c r="D139" s="7">
        <f>D140</f>
        <v>0</v>
      </c>
      <c r="E139" s="25">
        <f t="shared" si="78"/>
        <v>2700</v>
      </c>
      <c r="F139" s="256" t="e">
        <f>L139/D139*100</f>
        <v>#DIV/0!</v>
      </c>
      <c r="G139" s="7">
        <f aca="true" t="shared" si="97" ref="G139:L139">G140</f>
        <v>2700</v>
      </c>
      <c r="H139" s="7">
        <f t="shared" si="97"/>
        <v>1575</v>
      </c>
      <c r="I139" s="7">
        <f t="shared" si="97"/>
        <v>1575</v>
      </c>
      <c r="J139" s="7">
        <f t="shared" si="97"/>
        <v>2700</v>
      </c>
      <c r="K139" s="7">
        <f t="shared" si="97"/>
        <v>2700</v>
      </c>
      <c r="L139" s="7">
        <f t="shared" si="97"/>
        <v>2700</v>
      </c>
      <c r="M139" s="7" t="e">
        <f>L139-#REF!</f>
        <v>#REF!</v>
      </c>
      <c r="N139" s="63">
        <f t="shared" si="81"/>
        <v>100</v>
      </c>
      <c r="O139" s="25">
        <f t="shared" si="82"/>
        <v>171.42857142857142</v>
      </c>
      <c r="P139" s="63">
        <f t="shared" si="83"/>
        <v>100</v>
      </c>
      <c r="Q139" s="25">
        <f t="shared" si="84"/>
        <v>1125</v>
      </c>
      <c r="R139" s="7">
        <f t="shared" si="85"/>
        <v>0</v>
      </c>
      <c r="S139" s="347"/>
      <c r="T139" s="348"/>
      <c r="U139" s="348"/>
      <c r="V139" s="348"/>
      <c r="W139" s="390"/>
      <c r="X139" s="348"/>
    </row>
    <row r="140" spans="1:24" s="414" customFormat="1" ht="31.5">
      <c r="A140" s="342" t="s">
        <v>17</v>
      </c>
      <c r="B140" s="325"/>
      <c r="C140" s="7"/>
      <c r="D140" s="7"/>
      <c r="E140" s="25">
        <f t="shared" si="78"/>
        <v>2700</v>
      </c>
      <c r="F140" s="256" t="e">
        <f>L140/D140*100</f>
        <v>#DIV/0!</v>
      </c>
      <c r="G140" s="7">
        <v>2700</v>
      </c>
      <c r="H140" s="7">
        <f>ROUND(G140*$T$6,1)</f>
        <v>1575</v>
      </c>
      <c r="I140" s="7">
        <f>G140/12*6+G140/12*22/22</f>
        <v>1575</v>
      </c>
      <c r="J140" s="7">
        <v>2700</v>
      </c>
      <c r="K140" s="7">
        <v>2700</v>
      </c>
      <c r="L140" s="7">
        <v>2700</v>
      </c>
      <c r="M140" s="7" t="e">
        <f>L140-#REF!</f>
        <v>#REF!</v>
      </c>
      <c r="N140" s="63">
        <f t="shared" si="81"/>
        <v>100</v>
      </c>
      <c r="O140" s="25">
        <f t="shared" si="82"/>
        <v>171.42857142857142</v>
      </c>
      <c r="P140" s="63">
        <f t="shared" si="83"/>
        <v>100</v>
      </c>
      <c r="Q140" s="25">
        <f t="shared" si="84"/>
        <v>1125</v>
      </c>
      <c r="R140" s="7">
        <f t="shared" si="85"/>
        <v>0</v>
      </c>
      <c r="S140" s="347"/>
      <c r="T140" s="348"/>
      <c r="U140" s="348"/>
      <c r="V140" s="348"/>
      <c r="W140" s="390"/>
      <c r="X140" s="348"/>
    </row>
    <row r="141" spans="1:24" s="416" customFormat="1" ht="63">
      <c r="A141" s="342" t="s">
        <v>357</v>
      </c>
      <c r="B141" s="325">
        <v>41052300</v>
      </c>
      <c r="C141" s="7">
        <v>19050</v>
      </c>
      <c r="D141" s="7"/>
      <c r="E141" s="25">
        <f t="shared" si="78"/>
        <v>0</v>
      </c>
      <c r="F141" s="14" t="e">
        <f>L141/D141*100</f>
        <v>#DIV/0!</v>
      </c>
      <c r="G141" s="7"/>
      <c r="H141" s="7">
        <f>ROUND(G141*$T$6,1)</f>
        <v>0</v>
      </c>
      <c r="I141" s="7">
        <f>G141/12*6+G141/12*18/22</f>
        <v>0</v>
      </c>
      <c r="J141" s="7"/>
      <c r="K141" s="7"/>
      <c r="L141" s="7"/>
      <c r="M141" s="3" t="e">
        <f>L141-#REF!</f>
        <v>#REF!</v>
      </c>
      <c r="N141" s="372" t="e">
        <f t="shared" si="81"/>
        <v>#DIV/0!</v>
      </c>
      <c r="O141" s="256" t="e">
        <f t="shared" si="82"/>
        <v>#DIV/0!</v>
      </c>
      <c r="P141" s="372" t="e">
        <f t="shared" si="83"/>
        <v>#DIV/0!</v>
      </c>
      <c r="Q141" s="256">
        <f t="shared" si="84"/>
        <v>0</v>
      </c>
      <c r="R141" s="341">
        <f t="shared" si="85"/>
        <v>0</v>
      </c>
      <c r="S141" s="321"/>
      <c r="T141" s="322"/>
      <c r="U141" s="322"/>
      <c r="V141" s="322"/>
      <c r="W141" s="323"/>
      <c r="X141" s="322"/>
    </row>
    <row r="142" spans="1:24" s="416" customFormat="1" ht="110.25">
      <c r="A142" s="342" t="s">
        <v>13</v>
      </c>
      <c r="B142" s="325">
        <v>41052600</v>
      </c>
      <c r="C142" s="7"/>
      <c r="D142" s="7"/>
      <c r="E142" s="25">
        <f t="shared" si="78"/>
        <v>22967.1</v>
      </c>
      <c r="F142" s="14"/>
      <c r="G142" s="7">
        <v>45900</v>
      </c>
      <c r="H142" s="7">
        <f>ROUND(G142*$T$6,1)</f>
        <v>26775</v>
      </c>
      <c r="I142" s="7">
        <f>G142/12*6+G142/12*22/22</f>
        <v>26775</v>
      </c>
      <c r="J142" s="7">
        <v>22967.1</v>
      </c>
      <c r="K142" s="7">
        <v>22967.1</v>
      </c>
      <c r="L142" s="7">
        <v>22967.1</v>
      </c>
      <c r="M142" s="3" t="e">
        <f>L142-#REF!</f>
        <v>#REF!</v>
      </c>
      <c r="N142" s="63">
        <f t="shared" si="81"/>
        <v>50.03725490196078</v>
      </c>
      <c r="O142" s="25">
        <f t="shared" si="82"/>
        <v>85.7781512605042</v>
      </c>
      <c r="P142" s="63">
        <f t="shared" si="83"/>
        <v>100</v>
      </c>
      <c r="Q142" s="25">
        <f t="shared" si="84"/>
        <v>-3807.9000000000015</v>
      </c>
      <c r="R142" s="7">
        <f t="shared" si="85"/>
        <v>0</v>
      </c>
      <c r="S142" s="321"/>
      <c r="T142" s="322"/>
      <c r="U142" s="322"/>
      <c r="V142" s="322"/>
      <c r="W142" s="323"/>
      <c r="X142" s="322"/>
    </row>
    <row r="143" spans="1:24" s="414" customFormat="1" ht="31.5">
      <c r="A143" s="342" t="s">
        <v>347</v>
      </c>
      <c r="B143" s="325">
        <v>41053900</v>
      </c>
      <c r="C143" s="7">
        <f>C144+C147</f>
        <v>304.4</v>
      </c>
      <c r="D143" s="7">
        <f>D144+D147</f>
        <v>225.2</v>
      </c>
      <c r="E143" s="7">
        <f>E144+E147</f>
        <v>319.8</v>
      </c>
      <c r="F143" s="25">
        <f aca="true" t="shared" si="98" ref="F143:F148">L143/D143*100</f>
        <v>242.00710479573715</v>
      </c>
      <c r="G143" s="7">
        <f aca="true" t="shared" si="99" ref="G143:L143">G144+G147</f>
        <v>545</v>
      </c>
      <c r="H143" s="7">
        <f t="shared" si="99"/>
        <v>317.90000000000003</v>
      </c>
      <c r="I143" s="7">
        <f t="shared" si="99"/>
        <v>317.9166666666667</v>
      </c>
      <c r="J143" s="7">
        <f t="shared" si="99"/>
        <v>545</v>
      </c>
      <c r="K143" s="7">
        <f t="shared" si="99"/>
        <v>545</v>
      </c>
      <c r="L143" s="7">
        <f t="shared" si="99"/>
        <v>545</v>
      </c>
      <c r="M143" s="7" t="e">
        <f>L143-#REF!</f>
        <v>#REF!</v>
      </c>
      <c r="N143" s="63">
        <f t="shared" si="81"/>
        <v>100</v>
      </c>
      <c r="O143" s="25">
        <f t="shared" si="82"/>
        <v>171.42857142857142</v>
      </c>
      <c r="P143" s="63">
        <f t="shared" si="83"/>
        <v>100</v>
      </c>
      <c r="Q143" s="25">
        <f t="shared" si="84"/>
        <v>227.08333333333331</v>
      </c>
      <c r="R143" s="7">
        <f t="shared" si="85"/>
        <v>0</v>
      </c>
      <c r="S143" s="321" t="e">
        <f>#REF!-#REF!-#REF!</f>
        <v>#REF!</v>
      </c>
      <c r="T143" s="322" t="e">
        <f>#REF!-#REF!-#REF!</f>
        <v>#REF!</v>
      </c>
      <c r="U143" s="322" t="e">
        <f>#REF!/#REF!*100-#REF!</f>
        <v>#REF!</v>
      </c>
      <c r="V143" s="322" t="e">
        <f>#REF!/#REF!*100-#REF!</f>
        <v>#REF!</v>
      </c>
      <c r="W143" s="323" t="e">
        <f>#REF!-#REF!</f>
        <v>#REF!</v>
      </c>
      <c r="X143" s="322" t="e">
        <f>#REF!-#REF!</f>
        <v>#REF!</v>
      </c>
    </row>
    <row r="144" spans="1:24" s="414" customFormat="1" ht="20.25">
      <c r="A144" s="342" t="s">
        <v>24</v>
      </c>
      <c r="B144" s="435"/>
      <c r="C144" s="7">
        <f>C145+C146</f>
        <v>304.4</v>
      </c>
      <c r="D144" s="7">
        <f>D145+D146</f>
        <v>225.2</v>
      </c>
      <c r="E144" s="25">
        <f>E145+E146</f>
        <v>69.80000000000001</v>
      </c>
      <c r="F144" s="25">
        <f t="shared" si="98"/>
        <v>130.99467140319717</v>
      </c>
      <c r="G144" s="7">
        <f aca="true" t="shared" si="100" ref="G144:L144">G145+G146</f>
        <v>295</v>
      </c>
      <c r="H144" s="7">
        <f t="shared" si="100"/>
        <v>172.10000000000002</v>
      </c>
      <c r="I144" s="7">
        <f t="shared" si="100"/>
        <v>172.08333333333334</v>
      </c>
      <c r="J144" s="7">
        <f t="shared" si="100"/>
        <v>295</v>
      </c>
      <c r="K144" s="7">
        <f t="shared" si="100"/>
        <v>295</v>
      </c>
      <c r="L144" s="7">
        <f t="shared" si="100"/>
        <v>295</v>
      </c>
      <c r="M144" s="7" t="e">
        <f>L144-#REF!</f>
        <v>#REF!</v>
      </c>
      <c r="N144" s="63">
        <f t="shared" si="81"/>
        <v>100</v>
      </c>
      <c r="O144" s="25">
        <f t="shared" si="82"/>
        <v>171.42857142857142</v>
      </c>
      <c r="P144" s="63">
        <f t="shared" si="83"/>
        <v>100</v>
      </c>
      <c r="Q144" s="25">
        <f t="shared" si="84"/>
        <v>122.91666666666666</v>
      </c>
      <c r="R144" s="7">
        <f t="shared" si="85"/>
        <v>0</v>
      </c>
      <c r="S144" s="321"/>
      <c r="T144" s="322"/>
      <c r="U144" s="322"/>
      <c r="V144" s="322"/>
      <c r="W144" s="323"/>
      <c r="X144" s="322"/>
    </row>
    <row r="145" spans="1:24" s="414" customFormat="1" ht="31.5">
      <c r="A145" s="389" t="s">
        <v>25</v>
      </c>
      <c r="B145" s="435"/>
      <c r="C145" s="7">
        <v>304.4</v>
      </c>
      <c r="D145" s="7">
        <v>225.2</v>
      </c>
      <c r="E145" s="25">
        <f t="shared" si="78"/>
        <v>-180.2</v>
      </c>
      <c r="F145" s="25">
        <f t="shared" si="98"/>
        <v>19.982238010657195</v>
      </c>
      <c r="G145" s="7">
        <v>45</v>
      </c>
      <c r="H145" s="7">
        <f>ROUND(G145*$T$6,1)</f>
        <v>26.3</v>
      </c>
      <c r="I145" s="7">
        <f>G145/12*6+G145/12*22/22</f>
        <v>26.25</v>
      </c>
      <c r="J145" s="7">
        <v>45</v>
      </c>
      <c r="K145" s="7">
        <v>45</v>
      </c>
      <c r="L145" s="7">
        <v>45</v>
      </c>
      <c r="M145" s="7" t="e">
        <f>L145-#REF!</f>
        <v>#REF!</v>
      </c>
      <c r="N145" s="63">
        <f>L145/G145*100</f>
        <v>100</v>
      </c>
      <c r="O145" s="25">
        <f>L145/I145*100</f>
        <v>171.42857142857142</v>
      </c>
      <c r="P145" s="63">
        <f>L145/K145*100</f>
        <v>100</v>
      </c>
      <c r="Q145" s="25">
        <f>L145-I145</f>
        <v>18.75</v>
      </c>
      <c r="R145" s="7">
        <f>L145-K145</f>
        <v>0</v>
      </c>
      <c r="S145" s="321"/>
      <c r="T145" s="322"/>
      <c r="U145" s="322"/>
      <c r="V145" s="322"/>
      <c r="W145" s="323"/>
      <c r="X145" s="322"/>
    </row>
    <row r="146" spans="1:24" s="414" customFormat="1" ht="31.5">
      <c r="A146" s="436" t="s">
        <v>26</v>
      </c>
      <c r="B146" s="435"/>
      <c r="C146" s="7"/>
      <c r="D146" s="7"/>
      <c r="E146" s="25">
        <f t="shared" si="78"/>
        <v>250</v>
      </c>
      <c r="F146" s="256" t="e">
        <f t="shared" si="98"/>
        <v>#DIV/0!</v>
      </c>
      <c r="G146" s="7">
        <v>250</v>
      </c>
      <c r="H146" s="7">
        <f>ROUND(G146*$T$6,1)</f>
        <v>145.8</v>
      </c>
      <c r="I146" s="7">
        <f>G146/12*6+G146/12*22/22</f>
        <v>145.83333333333334</v>
      </c>
      <c r="J146" s="7">
        <v>250</v>
      </c>
      <c r="K146" s="7">
        <v>250</v>
      </c>
      <c r="L146" s="7">
        <v>250</v>
      </c>
      <c r="M146" s="7" t="e">
        <f>L146-#REF!</f>
        <v>#REF!</v>
      </c>
      <c r="N146" s="63">
        <f t="shared" si="81"/>
        <v>100</v>
      </c>
      <c r="O146" s="25">
        <f t="shared" si="82"/>
        <v>171.42857142857142</v>
      </c>
      <c r="P146" s="63">
        <f t="shared" si="83"/>
        <v>100</v>
      </c>
      <c r="Q146" s="25">
        <f t="shared" si="84"/>
        <v>104.16666666666666</v>
      </c>
      <c r="R146" s="7">
        <f t="shared" si="85"/>
        <v>0</v>
      </c>
      <c r="S146" s="321"/>
      <c r="T146" s="322"/>
      <c r="U146" s="322"/>
      <c r="V146" s="322"/>
      <c r="W146" s="323"/>
      <c r="X146" s="322"/>
    </row>
    <row r="147" spans="1:24" s="414" customFormat="1" ht="31.5">
      <c r="A147" s="436" t="s">
        <v>12</v>
      </c>
      <c r="B147" s="435"/>
      <c r="C147" s="7"/>
      <c r="D147" s="7"/>
      <c r="E147" s="25">
        <f t="shared" si="78"/>
        <v>250</v>
      </c>
      <c r="F147" s="256" t="e">
        <f t="shared" si="98"/>
        <v>#DIV/0!</v>
      </c>
      <c r="G147" s="7">
        <f aca="true" t="shared" si="101" ref="G147:L147">G148</f>
        <v>250</v>
      </c>
      <c r="H147" s="7">
        <f t="shared" si="101"/>
        <v>145.8</v>
      </c>
      <c r="I147" s="7">
        <f t="shared" si="101"/>
        <v>145.83333333333334</v>
      </c>
      <c r="J147" s="7">
        <f t="shared" si="101"/>
        <v>250</v>
      </c>
      <c r="K147" s="7">
        <f t="shared" si="101"/>
        <v>250</v>
      </c>
      <c r="L147" s="7">
        <f t="shared" si="101"/>
        <v>250</v>
      </c>
      <c r="M147" s="7" t="e">
        <f>L147-#REF!</f>
        <v>#REF!</v>
      </c>
      <c r="N147" s="63">
        <f t="shared" si="81"/>
        <v>100</v>
      </c>
      <c r="O147" s="25">
        <f t="shared" si="82"/>
        <v>171.42857142857142</v>
      </c>
      <c r="P147" s="63">
        <f t="shared" si="83"/>
        <v>100</v>
      </c>
      <c r="Q147" s="25">
        <f t="shared" si="84"/>
        <v>104.16666666666666</v>
      </c>
      <c r="R147" s="7">
        <f t="shared" si="85"/>
        <v>0</v>
      </c>
      <c r="S147" s="321"/>
      <c r="T147" s="322"/>
      <c r="U147" s="322"/>
      <c r="V147" s="322"/>
      <c r="W147" s="323"/>
      <c r="X147" s="322"/>
    </row>
    <row r="148" spans="1:24" s="414" customFormat="1" ht="63">
      <c r="A148" s="436" t="s">
        <v>11</v>
      </c>
      <c r="B148" s="435"/>
      <c r="C148" s="7"/>
      <c r="D148" s="7"/>
      <c r="E148" s="25">
        <f t="shared" si="78"/>
        <v>250</v>
      </c>
      <c r="F148" s="256" t="e">
        <f t="shared" si="98"/>
        <v>#DIV/0!</v>
      </c>
      <c r="G148" s="7">
        <v>250</v>
      </c>
      <c r="H148" s="7">
        <f>ROUND(G148*$T$6,1)</f>
        <v>145.8</v>
      </c>
      <c r="I148" s="7">
        <f>G148/12*6+G148/12*22/22</f>
        <v>145.83333333333334</v>
      </c>
      <c r="J148" s="7">
        <v>250</v>
      </c>
      <c r="K148" s="7">
        <v>250</v>
      </c>
      <c r="L148" s="7">
        <v>250</v>
      </c>
      <c r="M148" s="7" t="e">
        <f>L148-#REF!</f>
        <v>#REF!</v>
      </c>
      <c r="N148" s="63">
        <f t="shared" si="81"/>
        <v>100</v>
      </c>
      <c r="O148" s="25">
        <f t="shared" si="82"/>
        <v>171.42857142857142</v>
      </c>
      <c r="P148" s="63">
        <f t="shared" si="83"/>
        <v>100</v>
      </c>
      <c r="Q148" s="25">
        <f t="shared" si="84"/>
        <v>104.16666666666666</v>
      </c>
      <c r="R148" s="7">
        <f t="shared" si="85"/>
        <v>0</v>
      </c>
      <c r="S148" s="321"/>
      <c r="T148" s="322"/>
      <c r="U148" s="322"/>
      <c r="V148" s="322"/>
      <c r="W148" s="323"/>
      <c r="X148" s="322"/>
    </row>
    <row r="149" spans="1:24" s="416" customFormat="1" ht="22.5" customHeight="1">
      <c r="A149" s="328" t="s">
        <v>260</v>
      </c>
      <c r="B149" s="320">
        <v>50000000</v>
      </c>
      <c r="C149" s="10">
        <f>SUM(C150:C150)</f>
        <v>999.2</v>
      </c>
      <c r="D149" s="10">
        <f>SUM(D150:D150)</f>
        <v>572</v>
      </c>
      <c r="E149" s="6">
        <f t="shared" si="78"/>
        <v>-225.10000000000002</v>
      </c>
      <c r="F149" s="6">
        <f t="shared" si="79"/>
        <v>60.64685314685314</v>
      </c>
      <c r="G149" s="10">
        <f aca="true" t="shared" si="102" ref="G149:L149">SUM(G150:G150)</f>
        <v>1284.9</v>
      </c>
      <c r="H149" s="10">
        <f t="shared" si="102"/>
        <v>749.5</v>
      </c>
      <c r="I149" s="10">
        <f t="shared" si="102"/>
        <v>749.5250000000001</v>
      </c>
      <c r="J149" s="10">
        <f t="shared" si="102"/>
        <v>1075.4</v>
      </c>
      <c r="K149" s="10">
        <f t="shared" si="102"/>
        <v>1075.4</v>
      </c>
      <c r="L149" s="10">
        <f t="shared" si="102"/>
        <v>346.9</v>
      </c>
      <c r="M149" s="10" t="e">
        <f>L149-#REF!</f>
        <v>#REF!</v>
      </c>
      <c r="N149" s="10">
        <f t="shared" si="81"/>
        <v>26.99820997743015</v>
      </c>
      <c r="O149" s="6">
        <f t="shared" si="82"/>
        <v>46.28264567559454</v>
      </c>
      <c r="P149" s="10">
        <f t="shared" si="83"/>
        <v>32.25776455272456</v>
      </c>
      <c r="Q149" s="6">
        <f t="shared" si="84"/>
        <v>-402.6250000000001</v>
      </c>
      <c r="R149" s="10">
        <f t="shared" si="85"/>
        <v>-728.5000000000001</v>
      </c>
      <c r="S149" s="321">
        <f>L149-I149-Q149</f>
        <v>0</v>
      </c>
      <c r="T149" s="322">
        <f>L149-K149-R149</f>
        <v>0</v>
      </c>
      <c r="U149" s="322">
        <f>L149/G149*100-N149</f>
        <v>0</v>
      </c>
      <c r="V149" s="322">
        <f>L149/I149*100-O149</f>
        <v>0</v>
      </c>
      <c r="W149" s="323">
        <f aca="true" t="shared" si="103" ref="W149:W155">H149-I149</f>
        <v>-0.02500000000009095</v>
      </c>
      <c r="X149" s="322">
        <f aca="true" t="shared" si="104" ref="X149:X155">J149-K149</f>
        <v>0</v>
      </c>
    </row>
    <row r="150" spans="1:24" s="413" customFormat="1" ht="63">
      <c r="A150" s="342" t="s">
        <v>308</v>
      </c>
      <c r="B150" s="325">
        <v>50110000</v>
      </c>
      <c r="C150" s="7">
        <v>999.2</v>
      </c>
      <c r="D150" s="7">
        <v>572</v>
      </c>
      <c r="E150" s="25">
        <f t="shared" si="78"/>
        <v>-225.10000000000002</v>
      </c>
      <c r="F150" s="25">
        <f t="shared" si="79"/>
        <v>60.64685314685314</v>
      </c>
      <c r="G150" s="7">
        <v>1284.9</v>
      </c>
      <c r="H150" s="7">
        <f>ROUND(G150*$T$6,1)</f>
        <v>749.5</v>
      </c>
      <c r="I150" s="7">
        <f>G150/12*6+G150/12*22/22</f>
        <v>749.5250000000001</v>
      </c>
      <c r="J150" s="7">
        <v>1075.4</v>
      </c>
      <c r="K150" s="7">
        <v>1075.4</v>
      </c>
      <c r="L150" s="7">
        <v>346.9</v>
      </c>
      <c r="M150" s="3" t="e">
        <f>L150-#REF!</f>
        <v>#REF!</v>
      </c>
      <c r="N150" s="63">
        <f t="shared" si="81"/>
        <v>26.99820997743015</v>
      </c>
      <c r="O150" s="25">
        <f t="shared" si="82"/>
        <v>46.28264567559454</v>
      </c>
      <c r="P150" s="63">
        <f t="shared" si="83"/>
        <v>32.25776455272456</v>
      </c>
      <c r="Q150" s="25">
        <f t="shared" si="84"/>
        <v>-402.6250000000001</v>
      </c>
      <c r="R150" s="7">
        <f t="shared" si="85"/>
        <v>-728.5000000000001</v>
      </c>
      <c r="S150" s="321">
        <f>L150-I150-Q150</f>
        <v>0</v>
      </c>
      <c r="T150" s="322">
        <f>L150-K150-R150</f>
        <v>0</v>
      </c>
      <c r="U150" s="322">
        <f>L150/G150*100-N150</f>
        <v>0</v>
      </c>
      <c r="V150" s="322">
        <f>L150/I150*100-O150</f>
        <v>0</v>
      </c>
      <c r="W150" s="323">
        <f t="shared" si="103"/>
        <v>-0.02500000000009095</v>
      </c>
      <c r="X150" s="322">
        <f t="shared" si="104"/>
        <v>0</v>
      </c>
    </row>
    <row r="151" spans="1:24" s="428" customFormat="1" ht="18.75" customHeight="1">
      <c r="A151" s="397" t="s">
        <v>283</v>
      </c>
      <c r="B151" s="427"/>
      <c r="C151" s="203">
        <f>C115+C120+C130+C136+C149</f>
        <v>103722.79999999997</v>
      </c>
      <c r="D151" s="203">
        <f>D115+D120+D130+D136+D149</f>
        <v>43854.799999999996</v>
      </c>
      <c r="E151" s="209">
        <f>L151-D151</f>
        <v>41680.69999999999</v>
      </c>
      <c r="F151" s="209">
        <f>L151/D151*100</f>
        <v>195.04250389923106</v>
      </c>
      <c r="G151" s="209">
        <f aca="true" t="shared" si="105" ref="G151:M151">G115+G120+G130+G136+G149</f>
        <v>129909.99999999999</v>
      </c>
      <c r="H151" s="209">
        <f t="shared" si="105"/>
        <v>75780.79166666666</v>
      </c>
      <c r="I151" s="209">
        <f t="shared" si="105"/>
        <v>75780.83333333333</v>
      </c>
      <c r="J151" s="209">
        <f t="shared" si="105"/>
        <v>73654.58333333331</v>
      </c>
      <c r="K151" s="209">
        <f t="shared" si="105"/>
        <v>73654.58333333331</v>
      </c>
      <c r="L151" s="209">
        <f t="shared" si="105"/>
        <v>85535.49999999999</v>
      </c>
      <c r="M151" s="209" t="e">
        <f t="shared" si="105"/>
        <v>#REF!</v>
      </c>
      <c r="N151" s="209">
        <f>L151/G151*100</f>
        <v>65.84212146870911</v>
      </c>
      <c r="O151" s="203">
        <f t="shared" si="82"/>
        <v>112.87220823207274</v>
      </c>
      <c r="P151" s="209">
        <f t="shared" si="83"/>
        <v>116.13058703067811</v>
      </c>
      <c r="Q151" s="203">
        <f t="shared" si="84"/>
        <v>9754.666666666657</v>
      </c>
      <c r="R151" s="209">
        <f t="shared" si="85"/>
        <v>11880.916666666672</v>
      </c>
      <c r="S151" s="394"/>
      <c r="T151" s="395"/>
      <c r="U151" s="395"/>
      <c r="V151" s="395"/>
      <c r="W151" s="396">
        <f t="shared" si="103"/>
        <v>-0.041666666671517305</v>
      </c>
      <c r="X151" s="395">
        <f t="shared" si="104"/>
        <v>0</v>
      </c>
    </row>
    <row r="152" spans="1:24" s="425" customFormat="1" ht="31.5">
      <c r="A152" s="402" t="s">
        <v>285</v>
      </c>
      <c r="B152" s="393"/>
      <c r="C152" s="203">
        <f>(C151-C136)</f>
        <v>84368.39999999997</v>
      </c>
      <c r="D152" s="209">
        <f>D151-D136</f>
        <v>43629.6</v>
      </c>
      <c r="E152" s="209">
        <f t="shared" si="78"/>
        <v>15693.799999999988</v>
      </c>
      <c r="F152" s="209">
        <f t="shared" si="79"/>
        <v>135.97053376606704</v>
      </c>
      <c r="G152" s="209">
        <f>G151-G136</f>
        <v>80764.99999999999</v>
      </c>
      <c r="H152" s="209">
        <f>H151-H136</f>
        <v>47112.891666666656</v>
      </c>
      <c r="I152" s="209">
        <f>I151-I136</f>
        <v>47112.91666666666</v>
      </c>
      <c r="J152" s="209">
        <f>J151-J136</f>
        <v>47442.483333333315</v>
      </c>
      <c r="K152" s="209">
        <f>K151-K136</f>
        <v>47442.483333333315</v>
      </c>
      <c r="L152" s="209">
        <f>(L151-L136)</f>
        <v>59323.39999999999</v>
      </c>
      <c r="M152" s="209" t="e">
        <f>(M151-M136)</f>
        <v>#REF!</v>
      </c>
      <c r="N152" s="210">
        <f t="shared" si="81"/>
        <v>73.45186652634186</v>
      </c>
      <c r="O152" s="203">
        <f t="shared" si="82"/>
        <v>125.9174854737289</v>
      </c>
      <c r="P152" s="210">
        <f t="shared" si="83"/>
        <v>125.042779871346</v>
      </c>
      <c r="Q152" s="203">
        <f t="shared" si="84"/>
        <v>12210.48333333333</v>
      </c>
      <c r="R152" s="209">
        <f t="shared" si="85"/>
        <v>11880.916666666672</v>
      </c>
      <c r="S152" s="394">
        <f>L152-I152-Q152</f>
        <v>0</v>
      </c>
      <c r="T152" s="395">
        <f>L152-K152-R152</f>
        <v>0</v>
      </c>
      <c r="U152" s="395">
        <f>L152/G152*100-N152</f>
        <v>0</v>
      </c>
      <c r="V152" s="395">
        <f>L152/I152*100-O152</f>
        <v>0</v>
      </c>
      <c r="W152" s="396">
        <f t="shared" si="103"/>
        <v>-0.02500000000145519</v>
      </c>
      <c r="X152" s="395">
        <f t="shared" si="104"/>
        <v>0</v>
      </c>
    </row>
    <row r="153" spans="1:24" s="425" customFormat="1" ht="24" customHeight="1">
      <c r="A153" s="403" t="s">
        <v>286</v>
      </c>
      <c r="B153" s="393"/>
      <c r="C153" s="203">
        <f>C130+C126+C128</f>
        <v>12711.699999999999</v>
      </c>
      <c r="D153" s="203">
        <f>D130+D126+D128</f>
        <v>7382.299999999999</v>
      </c>
      <c r="E153" s="203">
        <f>L153-D153</f>
        <v>-2597.5999999999995</v>
      </c>
      <c r="F153" s="209">
        <f t="shared" si="79"/>
        <v>64.81313411809329</v>
      </c>
      <c r="G153" s="209">
        <f aca="true" t="shared" si="106" ref="G153:M153">G130+G126+G128</f>
        <v>5514</v>
      </c>
      <c r="H153" s="209">
        <f t="shared" si="106"/>
        <v>3216.5000000000005</v>
      </c>
      <c r="I153" s="209">
        <f t="shared" si="106"/>
        <v>3216.5</v>
      </c>
      <c r="J153" s="209">
        <f t="shared" si="106"/>
        <v>3314</v>
      </c>
      <c r="K153" s="209">
        <f t="shared" si="106"/>
        <v>3314</v>
      </c>
      <c r="L153" s="209">
        <f t="shared" si="106"/>
        <v>4784.7</v>
      </c>
      <c r="M153" s="209" t="e">
        <f t="shared" si="106"/>
        <v>#REF!</v>
      </c>
      <c r="N153" s="203">
        <f>L153/G153*100</f>
        <v>86.77366702937975</v>
      </c>
      <c r="O153" s="203">
        <f t="shared" si="82"/>
        <v>148.754857764651</v>
      </c>
      <c r="P153" s="203">
        <f t="shared" si="83"/>
        <v>144.37839468919734</v>
      </c>
      <c r="Q153" s="203">
        <f t="shared" si="84"/>
        <v>1568.1999999999998</v>
      </c>
      <c r="R153" s="203">
        <f t="shared" si="85"/>
        <v>1470.6999999999998</v>
      </c>
      <c r="S153" s="394"/>
      <c r="T153" s="395"/>
      <c r="U153" s="395"/>
      <c r="V153" s="395"/>
      <c r="W153" s="396">
        <f t="shared" si="103"/>
        <v>0</v>
      </c>
      <c r="X153" s="395">
        <f t="shared" si="104"/>
        <v>0</v>
      </c>
    </row>
    <row r="154" spans="1:24" s="425" customFormat="1" ht="27" customHeight="1">
      <c r="A154" s="402" t="s">
        <v>261</v>
      </c>
      <c r="B154" s="427"/>
      <c r="C154" s="203">
        <f>C113+C151</f>
        <v>2872072.8</v>
      </c>
      <c r="D154" s="209">
        <f>D113+D151</f>
        <v>1694300.5</v>
      </c>
      <c r="E154" s="209">
        <f t="shared" si="78"/>
        <v>401301.9115199996</v>
      </c>
      <c r="F154" s="209">
        <f t="shared" si="79"/>
        <v>123.68540359399054</v>
      </c>
      <c r="G154" s="209">
        <f aca="true" t="shared" si="107" ref="G154:M154">G113+G151</f>
        <v>3412176.4</v>
      </c>
      <c r="H154" s="209">
        <f t="shared" si="107"/>
        <v>1990436.175</v>
      </c>
      <c r="I154" s="209">
        <f t="shared" si="107"/>
        <v>1990436.2333333332</v>
      </c>
      <c r="J154" s="209">
        <f t="shared" si="107"/>
        <v>2077572.383333333</v>
      </c>
      <c r="K154" s="209">
        <f t="shared" si="107"/>
        <v>2077572.383333333</v>
      </c>
      <c r="L154" s="209">
        <f t="shared" si="107"/>
        <v>2095602.4115199996</v>
      </c>
      <c r="M154" s="209" t="e">
        <f t="shared" si="107"/>
        <v>#REF!</v>
      </c>
      <c r="N154" s="209">
        <f t="shared" si="81"/>
        <v>61.4154183681711</v>
      </c>
      <c r="O154" s="203">
        <f t="shared" si="82"/>
        <v>105.28357434543618</v>
      </c>
      <c r="P154" s="209">
        <f t="shared" si="83"/>
        <v>100.86784115592347</v>
      </c>
      <c r="Q154" s="203">
        <f t="shared" si="84"/>
        <v>105166.17818666645</v>
      </c>
      <c r="R154" s="209">
        <f>L154-K154</f>
        <v>18030.028186666546</v>
      </c>
      <c r="S154" s="394">
        <f>L154-I154-Q154</f>
        <v>0</v>
      </c>
      <c r="T154" s="395">
        <f>L154-K154-R154</f>
        <v>0</v>
      </c>
      <c r="U154" s="395">
        <f>L154/G154*100-N154</f>
        <v>0</v>
      </c>
      <c r="V154" s="395">
        <f>L154/I154*100-O154</f>
        <v>0</v>
      </c>
      <c r="W154" s="396">
        <f t="shared" si="103"/>
        <v>-0.05833333311602473</v>
      </c>
      <c r="X154" s="395">
        <f t="shared" si="104"/>
        <v>0</v>
      </c>
    </row>
    <row r="155" spans="1:24" s="416" customFormat="1" ht="19.5" customHeight="1">
      <c r="A155" s="439"/>
      <c r="B155" s="429"/>
      <c r="C155" s="11"/>
      <c r="D155" s="11"/>
      <c r="E155" s="11"/>
      <c r="F155" s="101"/>
      <c r="G155" s="11"/>
      <c r="H155" s="11"/>
      <c r="I155" s="11"/>
      <c r="J155" s="102"/>
      <c r="K155" s="11"/>
      <c r="L155" s="11"/>
      <c r="M155" s="221"/>
      <c r="N155" s="11"/>
      <c r="O155" s="11"/>
      <c r="P155" s="11"/>
      <c r="Q155" s="11"/>
      <c r="R155" s="11"/>
      <c r="S155" s="321">
        <f>L155-I155-Q155</f>
        <v>0</v>
      </c>
      <c r="T155" s="322">
        <f>L155-K155-R155</f>
        <v>0</v>
      </c>
      <c r="U155" s="322" t="e">
        <f>L155/G155*100-N155</f>
        <v>#DIV/0!</v>
      </c>
      <c r="V155" s="322" t="e">
        <f>L155/I155*100-O155</f>
        <v>#DIV/0!</v>
      </c>
      <c r="W155" s="323">
        <f t="shared" si="103"/>
        <v>0</v>
      </c>
      <c r="X155" s="322">
        <f t="shared" si="104"/>
        <v>0</v>
      </c>
    </row>
    <row r="156" spans="1:18" ht="18.75">
      <c r="A156" s="809"/>
      <c r="B156" s="809"/>
      <c r="C156" s="809"/>
      <c r="D156" s="809"/>
      <c r="E156" s="809"/>
      <c r="F156" s="809"/>
      <c r="G156" s="809"/>
      <c r="H156" s="809"/>
      <c r="L156" s="453" t="e">
        <f>L154-#REF!-M154</f>
        <v>#REF!</v>
      </c>
      <c r="M156" s="450"/>
      <c r="N156" s="408"/>
      <c r="O156" s="408"/>
      <c r="P156" s="408"/>
      <c r="Q156" s="408"/>
      <c r="R156" s="408"/>
    </row>
    <row r="157" spans="1:18" ht="16.5">
      <c r="A157" s="809"/>
      <c r="B157" s="809"/>
      <c r="C157" s="809"/>
      <c r="D157" s="809"/>
      <c r="E157" s="809"/>
      <c r="F157" s="809"/>
      <c r="G157" s="809"/>
      <c r="H157" s="809"/>
      <c r="M157" s="450"/>
      <c r="N157" s="408"/>
      <c r="O157" s="408"/>
      <c r="P157" s="408"/>
      <c r="Q157" s="408"/>
      <c r="R157" s="408"/>
    </row>
    <row r="158" spans="1:18" ht="16.5">
      <c r="A158" s="809"/>
      <c r="B158" s="809"/>
      <c r="C158" s="809"/>
      <c r="D158" s="809"/>
      <c r="E158" s="809"/>
      <c r="F158" s="809"/>
      <c r="G158" s="809"/>
      <c r="H158" s="809"/>
      <c r="M158" s="450"/>
      <c r="N158" s="408"/>
      <c r="O158" s="408"/>
      <c r="P158" s="408"/>
      <c r="Q158" s="408"/>
      <c r="R158" s="408"/>
    </row>
    <row r="159" spans="1:18" ht="16.5">
      <c r="A159" s="809"/>
      <c r="B159" s="809"/>
      <c r="C159" s="809"/>
      <c r="D159" s="809"/>
      <c r="E159" s="809"/>
      <c r="F159" s="809"/>
      <c r="G159" s="809"/>
      <c r="H159" s="809"/>
      <c r="M159" s="450"/>
      <c r="N159" s="408"/>
      <c r="O159" s="408"/>
      <c r="P159" s="408"/>
      <c r="Q159" s="408"/>
      <c r="R159" s="408"/>
    </row>
    <row r="160" spans="1:18" ht="16.5">
      <c r="A160" s="809"/>
      <c r="B160" s="809"/>
      <c r="C160" s="809"/>
      <c r="D160" s="809"/>
      <c r="E160" s="809"/>
      <c r="F160" s="809"/>
      <c r="G160" s="809"/>
      <c r="H160" s="809"/>
      <c r="M160" s="450"/>
      <c r="N160" s="408"/>
      <c r="O160" s="408"/>
      <c r="P160" s="408"/>
      <c r="Q160" s="408"/>
      <c r="R160" s="408"/>
    </row>
    <row r="161" spans="1:18" ht="16.5">
      <c r="A161" s="809"/>
      <c r="B161" s="809"/>
      <c r="C161" s="809"/>
      <c r="D161" s="809"/>
      <c r="E161" s="809"/>
      <c r="F161" s="809"/>
      <c r="G161" s="809"/>
      <c r="H161" s="809"/>
      <c r="M161" s="450"/>
      <c r="N161" s="408"/>
      <c r="O161" s="408"/>
      <c r="P161" s="408"/>
      <c r="Q161" s="408"/>
      <c r="R161" s="408"/>
    </row>
    <row r="162" spans="1:18" ht="16.5">
      <c r="A162" s="809"/>
      <c r="B162" s="809"/>
      <c r="C162" s="809"/>
      <c r="D162" s="809"/>
      <c r="E162" s="809"/>
      <c r="F162" s="809"/>
      <c r="G162" s="809"/>
      <c r="H162" s="809"/>
      <c r="M162" s="450"/>
      <c r="N162" s="408"/>
      <c r="O162" s="408"/>
      <c r="P162" s="408"/>
      <c r="Q162" s="408"/>
      <c r="R162" s="408"/>
    </row>
    <row r="163" spans="1:18" ht="16.5">
      <c r="A163" s="809"/>
      <c r="B163" s="809"/>
      <c r="C163" s="809"/>
      <c r="D163" s="809"/>
      <c r="E163" s="809"/>
      <c r="F163" s="809"/>
      <c r="G163" s="809"/>
      <c r="H163" s="809"/>
      <c r="M163" s="450"/>
      <c r="N163" s="408"/>
      <c r="O163" s="408"/>
      <c r="P163" s="408"/>
      <c r="Q163" s="408"/>
      <c r="R163" s="408"/>
    </row>
    <row r="164" spans="1:18" ht="16.5">
      <c r="A164" s="809"/>
      <c r="B164" s="809"/>
      <c r="C164" s="809"/>
      <c r="D164" s="809"/>
      <c r="E164" s="809"/>
      <c r="F164" s="809"/>
      <c r="G164" s="809"/>
      <c r="H164" s="809"/>
      <c r="M164" s="450"/>
      <c r="N164" s="408"/>
      <c r="O164" s="408"/>
      <c r="P164" s="408"/>
      <c r="Q164" s="408"/>
      <c r="R164" s="408"/>
    </row>
    <row r="165" spans="1:18" ht="16.5">
      <c r="A165" s="809"/>
      <c r="B165" s="809"/>
      <c r="C165" s="809"/>
      <c r="D165" s="809"/>
      <c r="E165" s="809"/>
      <c r="F165" s="809"/>
      <c r="G165" s="809"/>
      <c r="H165" s="809"/>
      <c r="M165" s="450"/>
      <c r="N165" s="408"/>
      <c r="O165" s="408"/>
      <c r="P165" s="408"/>
      <c r="Q165" s="408"/>
      <c r="R165" s="408"/>
    </row>
    <row r="166" spans="1:18" ht="16.5">
      <c r="A166" s="809"/>
      <c r="B166" s="809"/>
      <c r="C166" s="809"/>
      <c r="D166" s="809"/>
      <c r="E166" s="809"/>
      <c r="F166" s="809"/>
      <c r="G166" s="809"/>
      <c r="H166" s="809"/>
      <c r="M166" s="450"/>
      <c r="N166" s="408"/>
      <c r="O166" s="408"/>
      <c r="P166" s="408"/>
      <c r="Q166" s="408"/>
      <c r="R166" s="408"/>
    </row>
    <row r="167" spans="1:18" ht="16.5">
      <c r="A167" s="809"/>
      <c r="B167" s="809"/>
      <c r="C167" s="809"/>
      <c r="D167" s="809"/>
      <c r="E167" s="809"/>
      <c r="F167" s="809"/>
      <c r="G167" s="809"/>
      <c r="H167" s="809"/>
      <c r="M167" s="450"/>
      <c r="N167" s="408"/>
      <c r="O167" s="408"/>
      <c r="P167" s="408"/>
      <c r="Q167" s="408"/>
      <c r="R167" s="408"/>
    </row>
    <row r="168" spans="1:18" ht="16.5">
      <c r="A168" s="809"/>
      <c r="B168" s="809"/>
      <c r="C168" s="809"/>
      <c r="D168" s="809"/>
      <c r="E168" s="809"/>
      <c r="F168" s="809"/>
      <c r="G168" s="809"/>
      <c r="H168" s="809"/>
      <c r="M168" s="450"/>
      <c r="N168" s="408"/>
      <c r="O168" s="408"/>
      <c r="P168" s="408"/>
      <c r="Q168" s="408"/>
      <c r="R168" s="408"/>
    </row>
    <row r="169" spans="1:18" ht="16.5">
      <c r="A169" s="809"/>
      <c r="B169" s="809"/>
      <c r="C169" s="809"/>
      <c r="D169" s="809"/>
      <c r="E169" s="809"/>
      <c r="F169" s="809"/>
      <c r="G169" s="809"/>
      <c r="H169" s="809"/>
      <c r="M169" s="450"/>
      <c r="N169" s="408"/>
      <c r="O169" s="408"/>
      <c r="P169" s="408"/>
      <c r="Q169" s="408"/>
      <c r="R169" s="408"/>
    </row>
    <row r="170" spans="1:18" ht="16.5">
      <c r="A170" s="809"/>
      <c r="B170" s="809"/>
      <c r="C170" s="809"/>
      <c r="D170" s="809"/>
      <c r="E170" s="809"/>
      <c r="F170" s="809"/>
      <c r="G170" s="809"/>
      <c r="H170" s="809"/>
      <c r="M170" s="450"/>
      <c r="N170" s="408"/>
      <c r="O170" s="408"/>
      <c r="P170" s="408"/>
      <c r="Q170" s="408"/>
      <c r="R170" s="408"/>
    </row>
    <row r="171" spans="1:18" ht="16.5">
      <c r="A171" s="809"/>
      <c r="B171" s="809"/>
      <c r="C171" s="809"/>
      <c r="D171" s="809"/>
      <c r="E171" s="809"/>
      <c r="F171" s="809"/>
      <c r="G171" s="809"/>
      <c r="H171" s="809"/>
      <c r="M171" s="450"/>
      <c r="N171" s="408"/>
      <c r="O171" s="408"/>
      <c r="P171" s="408"/>
      <c r="Q171" s="408"/>
      <c r="R171" s="408"/>
    </row>
    <row r="172" spans="1:18" ht="16.5">
      <c r="A172" s="809"/>
      <c r="B172" s="809"/>
      <c r="C172" s="809"/>
      <c r="D172" s="809"/>
      <c r="E172" s="809"/>
      <c r="F172" s="809"/>
      <c r="G172" s="809"/>
      <c r="H172" s="809"/>
      <c r="M172" s="450"/>
      <c r="N172" s="408"/>
      <c r="O172" s="408"/>
      <c r="P172" s="408"/>
      <c r="Q172" s="408"/>
      <c r="R172" s="408"/>
    </row>
    <row r="173" spans="1:18" ht="16.5">
      <c r="A173" s="809"/>
      <c r="B173" s="809"/>
      <c r="C173" s="809"/>
      <c r="D173" s="809"/>
      <c r="E173" s="809"/>
      <c r="F173" s="809"/>
      <c r="G173" s="809"/>
      <c r="H173" s="809"/>
      <c r="M173" s="450"/>
      <c r="N173" s="408"/>
      <c r="O173" s="408"/>
      <c r="P173" s="408"/>
      <c r="Q173" s="408"/>
      <c r="R173" s="408"/>
    </row>
    <row r="174" spans="1:18" ht="16.5">
      <c r="A174" s="809"/>
      <c r="B174" s="809"/>
      <c r="C174" s="809"/>
      <c r="D174" s="809"/>
      <c r="E174" s="809"/>
      <c r="F174" s="809"/>
      <c r="G174" s="809"/>
      <c r="H174" s="809"/>
      <c r="M174" s="450"/>
      <c r="N174" s="408"/>
      <c r="O174" s="408"/>
      <c r="P174" s="408"/>
      <c r="Q174" s="408"/>
      <c r="R174" s="408"/>
    </row>
    <row r="175" spans="1:18" ht="16.5">
      <c r="A175" s="809"/>
      <c r="B175" s="809"/>
      <c r="C175" s="809"/>
      <c r="D175" s="809"/>
      <c r="E175" s="809"/>
      <c r="F175" s="809"/>
      <c r="G175" s="809"/>
      <c r="H175" s="809"/>
      <c r="M175" s="450"/>
      <c r="N175" s="408"/>
      <c r="O175" s="408"/>
      <c r="P175" s="408"/>
      <c r="Q175" s="408"/>
      <c r="R175" s="408"/>
    </row>
    <row r="176" spans="1:18" ht="16.5">
      <c r="A176" s="809"/>
      <c r="B176" s="809"/>
      <c r="C176" s="809"/>
      <c r="D176" s="809"/>
      <c r="E176" s="809"/>
      <c r="F176" s="809"/>
      <c r="G176" s="809"/>
      <c r="H176" s="809"/>
      <c r="M176" s="450"/>
      <c r="N176" s="408"/>
      <c r="O176" s="408"/>
      <c r="P176" s="408"/>
      <c r="Q176" s="408"/>
      <c r="R176" s="408"/>
    </row>
    <row r="177" spans="1:18" ht="16.5">
      <c r="A177" s="809"/>
      <c r="B177" s="809"/>
      <c r="C177" s="809"/>
      <c r="D177" s="809"/>
      <c r="E177" s="809"/>
      <c r="F177" s="809"/>
      <c r="G177" s="809"/>
      <c r="H177" s="809"/>
      <c r="M177" s="450"/>
      <c r="N177" s="408"/>
      <c r="O177" s="408"/>
      <c r="P177" s="408"/>
      <c r="Q177" s="408"/>
      <c r="R177" s="408"/>
    </row>
    <row r="178" spans="1:18" ht="16.5">
      <c r="A178" s="809"/>
      <c r="B178" s="809"/>
      <c r="C178" s="809"/>
      <c r="D178" s="809"/>
      <c r="E178" s="809"/>
      <c r="F178" s="809"/>
      <c r="G178" s="809"/>
      <c r="H178" s="809"/>
      <c r="M178" s="450"/>
      <c r="N178" s="408"/>
      <c r="O178" s="408"/>
      <c r="P178" s="408"/>
      <c r="Q178" s="408"/>
      <c r="R178" s="408"/>
    </row>
    <row r="179" spans="1:18" ht="16.5">
      <c r="A179" s="809"/>
      <c r="B179" s="809"/>
      <c r="C179" s="809"/>
      <c r="D179" s="809"/>
      <c r="E179" s="809"/>
      <c r="F179" s="809"/>
      <c r="G179" s="809"/>
      <c r="H179" s="809"/>
      <c r="M179" s="450"/>
      <c r="N179" s="408"/>
      <c r="O179" s="408"/>
      <c r="P179" s="408"/>
      <c r="Q179" s="408"/>
      <c r="R179" s="408"/>
    </row>
    <row r="180" spans="1:18" ht="16.5">
      <c r="A180" s="809"/>
      <c r="B180" s="809"/>
      <c r="C180" s="809"/>
      <c r="D180" s="809"/>
      <c r="E180" s="809"/>
      <c r="F180" s="809"/>
      <c r="G180" s="809"/>
      <c r="H180" s="809"/>
      <c r="M180" s="450"/>
      <c r="N180" s="408"/>
      <c r="O180" s="408"/>
      <c r="P180" s="408"/>
      <c r="Q180" s="408"/>
      <c r="R180" s="408"/>
    </row>
    <row r="181" spans="1:18" ht="16.5">
      <c r="A181" s="809"/>
      <c r="B181" s="809"/>
      <c r="C181" s="809"/>
      <c r="D181" s="809"/>
      <c r="E181" s="809"/>
      <c r="F181" s="809"/>
      <c r="G181" s="809"/>
      <c r="H181" s="809"/>
      <c r="M181" s="450"/>
      <c r="N181" s="408"/>
      <c r="O181" s="408"/>
      <c r="P181" s="408"/>
      <c r="Q181" s="408"/>
      <c r="R181" s="408"/>
    </row>
    <row r="182" spans="13:18" ht="18.75">
      <c r="M182" s="450"/>
      <c r="N182" s="408"/>
      <c r="O182" s="408"/>
      <c r="P182" s="408"/>
      <c r="Q182" s="408"/>
      <c r="R182" s="408"/>
    </row>
    <row r="183" spans="13:18" ht="18.75">
      <c r="M183" s="450"/>
      <c r="N183" s="408"/>
      <c r="O183" s="408"/>
      <c r="P183" s="408"/>
      <c r="Q183" s="408"/>
      <c r="R183" s="408"/>
    </row>
    <row r="184" spans="13:18" ht="18.75">
      <c r="M184" s="450"/>
      <c r="N184" s="408"/>
      <c r="O184" s="408"/>
      <c r="P184" s="408"/>
      <c r="Q184" s="408"/>
      <c r="R184" s="408"/>
    </row>
    <row r="185" spans="13:18" ht="18.75">
      <c r="M185" s="450"/>
      <c r="N185" s="408"/>
      <c r="O185" s="408"/>
      <c r="P185" s="408"/>
      <c r="Q185" s="408"/>
      <c r="R185" s="408"/>
    </row>
    <row r="186" spans="13:18" ht="18.75">
      <c r="M186" s="450"/>
      <c r="N186" s="408"/>
      <c r="O186" s="408"/>
      <c r="P186" s="408"/>
      <c r="Q186" s="408"/>
      <c r="R186" s="408"/>
    </row>
    <row r="187" spans="13:18" ht="18.75">
      <c r="M187" s="450"/>
      <c r="N187" s="408"/>
      <c r="O187" s="408"/>
      <c r="P187" s="408"/>
      <c r="Q187" s="408"/>
      <c r="R187" s="408"/>
    </row>
    <row r="188" spans="13:18" ht="18.75">
      <c r="M188" s="450"/>
      <c r="N188" s="408"/>
      <c r="O188" s="408"/>
      <c r="P188" s="408"/>
      <c r="Q188" s="408"/>
      <c r="R188" s="408"/>
    </row>
    <row r="189" spans="13:18" ht="18.75">
      <c r="M189" s="450"/>
      <c r="N189" s="408"/>
      <c r="O189" s="408"/>
      <c r="P189" s="408"/>
      <c r="Q189" s="408"/>
      <c r="R189" s="408"/>
    </row>
    <row r="190" spans="13:18" ht="18.75">
      <c r="M190" s="450"/>
      <c r="N190" s="408"/>
      <c r="O190" s="408"/>
      <c r="P190" s="408"/>
      <c r="Q190" s="408"/>
      <c r="R190" s="408"/>
    </row>
    <row r="191" spans="13:18" ht="18.75">
      <c r="M191" s="450"/>
      <c r="N191" s="408"/>
      <c r="O191" s="408"/>
      <c r="P191" s="408"/>
      <c r="Q191" s="408"/>
      <c r="R191" s="408"/>
    </row>
    <row r="192" spans="13:18" ht="18.75">
      <c r="M192" s="450"/>
      <c r="N192" s="408"/>
      <c r="O192" s="408"/>
      <c r="P192" s="408"/>
      <c r="Q192" s="408"/>
      <c r="R192" s="408"/>
    </row>
    <row r="193" spans="13:18" ht="18.75">
      <c r="M193" s="450"/>
      <c r="N193" s="408"/>
      <c r="O193" s="408"/>
      <c r="P193" s="408"/>
      <c r="Q193" s="408"/>
      <c r="R193" s="408"/>
    </row>
    <row r="194" spans="13:18" ht="18.75">
      <c r="M194" s="450"/>
      <c r="N194" s="408"/>
      <c r="O194" s="408"/>
      <c r="P194" s="408"/>
      <c r="Q194" s="408"/>
      <c r="R194" s="408"/>
    </row>
    <row r="195" spans="13:18" ht="18.75">
      <c r="M195" s="450"/>
      <c r="N195" s="408"/>
      <c r="O195" s="408"/>
      <c r="P195" s="408"/>
      <c r="Q195" s="408"/>
      <c r="R195" s="408"/>
    </row>
    <row r="196" spans="13:18" ht="18.75">
      <c r="M196" s="450"/>
      <c r="N196" s="408"/>
      <c r="O196" s="408"/>
      <c r="P196" s="408"/>
      <c r="Q196" s="408"/>
      <c r="R196" s="408"/>
    </row>
    <row r="197" spans="13:18" ht="18.75">
      <c r="M197" s="450"/>
      <c r="N197" s="408"/>
      <c r="O197" s="408"/>
      <c r="P197" s="408"/>
      <c r="Q197" s="408"/>
      <c r="R197" s="408"/>
    </row>
    <row r="198" spans="13:18" ht="18.75">
      <c r="M198" s="450"/>
      <c r="N198" s="408"/>
      <c r="O198" s="408"/>
      <c r="P198" s="408"/>
      <c r="Q198" s="408"/>
      <c r="R198" s="408"/>
    </row>
    <row r="199" spans="13:18" ht="18.75">
      <c r="M199" s="450"/>
      <c r="N199" s="408"/>
      <c r="O199" s="408"/>
      <c r="P199" s="408"/>
      <c r="Q199" s="408"/>
      <c r="R199" s="408"/>
    </row>
    <row r="200" spans="13:18" ht="18.75">
      <c r="M200" s="450"/>
      <c r="N200" s="408"/>
      <c r="O200" s="408"/>
      <c r="P200" s="408"/>
      <c r="Q200" s="408"/>
      <c r="R200" s="408"/>
    </row>
    <row r="201" spans="13:18" ht="18.75">
      <c r="M201" s="450"/>
      <c r="N201" s="408"/>
      <c r="O201" s="408"/>
      <c r="P201" s="408"/>
      <c r="Q201" s="408"/>
      <c r="R201" s="408"/>
    </row>
    <row r="202" spans="13:18" ht="18.75">
      <c r="M202" s="450"/>
      <c r="N202" s="408"/>
      <c r="O202" s="408"/>
      <c r="P202" s="408"/>
      <c r="Q202" s="408"/>
      <c r="R202" s="408"/>
    </row>
    <row r="203" spans="13:18" ht="18.75">
      <c r="M203" s="450"/>
      <c r="N203" s="408"/>
      <c r="O203" s="408"/>
      <c r="P203" s="408"/>
      <c r="Q203" s="408"/>
      <c r="R203" s="408"/>
    </row>
    <row r="204" spans="13:18" ht="18.75">
      <c r="M204" s="450"/>
      <c r="N204" s="408"/>
      <c r="O204" s="408"/>
      <c r="P204" s="408"/>
      <c r="Q204" s="408"/>
      <c r="R204" s="408"/>
    </row>
    <row r="205" spans="13:18" ht="18.75">
      <c r="M205" s="450"/>
      <c r="N205" s="408"/>
      <c r="O205" s="408"/>
      <c r="P205" s="408"/>
      <c r="Q205" s="408"/>
      <c r="R205" s="408"/>
    </row>
    <row r="206" spans="13:18" ht="18.75">
      <c r="M206" s="450"/>
      <c r="N206" s="408"/>
      <c r="O206" s="408"/>
      <c r="P206" s="408"/>
      <c r="Q206" s="408"/>
      <c r="R206" s="408"/>
    </row>
    <row r="207" spans="13:18" ht="18.75">
      <c r="M207" s="450"/>
      <c r="N207" s="408"/>
      <c r="O207" s="408"/>
      <c r="P207" s="408"/>
      <c r="Q207" s="408"/>
      <c r="R207" s="408"/>
    </row>
    <row r="208" spans="13:18" ht="18.75">
      <c r="M208" s="450"/>
      <c r="N208" s="408"/>
      <c r="O208" s="408"/>
      <c r="P208" s="408"/>
      <c r="Q208" s="408"/>
      <c r="R208" s="408"/>
    </row>
    <row r="209" spans="13:18" ht="18.75">
      <c r="M209" s="450"/>
      <c r="N209" s="408"/>
      <c r="O209" s="408"/>
      <c r="P209" s="408"/>
      <c r="Q209" s="408"/>
      <c r="R209" s="408"/>
    </row>
    <row r="210" spans="13:18" ht="18.75">
      <c r="M210" s="450"/>
      <c r="N210" s="408"/>
      <c r="O210" s="408"/>
      <c r="P210" s="408"/>
      <c r="Q210" s="408"/>
      <c r="R210" s="408"/>
    </row>
    <row r="211" spans="13:18" ht="18.75">
      <c r="M211" s="450"/>
      <c r="N211" s="408"/>
      <c r="O211" s="408"/>
      <c r="P211" s="408"/>
      <c r="Q211" s="408"/>
      <c r="R211" s="408"/>
    </row>
    <row r="212" spans="13:18" ht="18.75">
      <c r="M212" s="450"/>
      <c r="N212" s="408"/>
      <c r="O212" s="408"/>
      <c r="P212" s="408"/>
      <c r="Q212" s="408"/>
      <c r="R212" s="408"/>
    </row>
    <row r="213" spans="13:18" ht="18.75">
      <c r="M213" s="450"/>
      <c r="N213" s="408"/>
      <c r="O213" s="408"/>
      <c r="P213" s="408"/>
      <c r="Q213" s="408"/>
      <c r="R213" s="408"/>
    </row>
    <row r="214" spans="13:18" ht="18.75">
      <c r="M214" s="450"/>
      <c r="N214" s="408"/>
      <c r="O214" s="408"/>
      <c r="P214" s="408"/>
      <c r="Q214" s="408"/>
      <c r="R214" s="408"/>
    </row>
    <row r="215" spans="13:18" ht="18.75">
      <c r="M215" s="450"/>
      <c r="N215" s="408"/>
      <c r="O215" s="408"/>
      <c r="P215" s="408"/>
      <c r="Q215" s="408"/>
      <c r="R215" s="408"/>
    </row>
    <row r="216" spans="13:18" ht="18.75">
      <c r="M216" s="450"/>
      <c r="N216" s="408"/>
      <c r="O216" s="408"/>
      <c r="P216" s="408"/>
      <c r="Q216" s="408"/>
      <c r="R216" s="408"/>
    </row>
    <row r="217" spans="13:18" ht="18.75">
      <c r="M217" s="450"/>
      <c r="N217" s="408"/>
      <c r="O217" s="408"/>
      <c r="P217" s="408"/>
      <c r="Q217" s="408"/>
      <c r="R217" s="408"/>
    </row>
    <row r="218" spans="13:18" ht="18.75">
      <c r="M218" s="450"/>
      <c r="N218" s="408"/>
      <c r="O218" s="408"/>
      <c r="P218" s="408"/>
      <c r="Q218" s="408"/>
      <c r="R218" s="408"/>
    </row>
    <row r="219" spans="13:18" ht="18.75">
      <c r="M219" s="450"/>
      <c r="N219" s="408"/>
      <c r="O219" s="408"/>
      <c r="P219" s="408"/>
      <c r="Q219" s="408"/>
      <c r="R219" s="408"/>
    </row>
    <row r="220" spans="13:18" ht="18.75">
      <c r="M220" s="450"/>
      <c r="N220" s="408"/>
      <c r="O220" s="408"/>
      <c r="P220" s="408"/>
      <c r="Q220" s="408"/>
      <c r="R220" s="408"/>
    </row>
    <row r="221" spans="13:18" ht="18.75">
      <c r="M221" s="450"/>
      <c r="N221" s="408"/>
      <c r="O221" s="408"/>
      <c r="P221" s="408"/>
      <c r="Q221" s="408"/>
      <c r="R221" s="408"/>
    </row>
    <row r="222" spans="13:18" ht="18.75">
      <c r="M222" s="450"/>
      <c r="N222" s="408"/>
      <c r="O222" s="408"/>
      <c r="P222" s="408"/>
      <c r="Q222" s="408"/>
      <c r="R222" s="408"/>
    </row>
    <row r="223" spans="13:18" ht="18.75">
      <c r="M223" s="450"/>
      <c r="N223" s="408"/>
      <c r="O223" s="408"/>
      <c r="P223" s="408"/>
      <c r="Q223" s="408"/>
      <c r="R223" s="408"/>
    </row>
    <row r="224" spans="13:18" ht="18.75">
      <c r="M224" s="450"/>
      <c r="N224" s="408"/>
      <c r="O224" s="408"/>
      <c r="P224" s="408"/>
      <c r="Q224" s="408"/>
      <c r="R224" s="408"/>
    </row>
    <row r="225" spans="13:18" ht="18.75">
      <c r="M225" s="450"/>
      <c r="N225" s="408"/>
      <c r="O225" s="408"/>
      <c r="P225" s="408"/>
      <c r="Q225" s="408"/>
      <c r="R225" s="408"/>
    </row>
    <row r="226" spans="13:18" ht="18.75">
      <c r="M226" s="450"/>
      <c r="N226" s="408"/>
      <c r="O226" s="408"/>
      <c r="P226" s="408"/>
      <c r="Q226" s="408"/>
      <c r="R226" s="408"/>
    </row>
    <row r="227" spans="13:18" ht="18.75">
      <c r="M227" s="450"/>
      <c r="N227" s="408"/>
      <c r="O227" s="408"/>
      <c r="P227" s="408"/>
      <c r="Q227" s="408"/>
      <c r="R227" s="408"/>
    </row>
    <row r="228" spans="13:18" ht="18.75">
      <c r="M228" s="450"/>
      <c r="N228" s="408"/>
      <c r="O228" s="408"/>
      <c r="P228" s="408"/>
      <c r="Q228" s="408"/>
      <c r="R228" s="408"/>
    </row>
    <row r="229" spans="13:18" ht="18.75">
      <c r="M229" s="450"/>
      <c r="N229" s="408"/>
      <c r="O229" s="408"/>
      <c r="P229" s="408"/>
      <c r="Q229" s="408"/>
      <c r="R229" s="408"/>
    </row>
    <row r="230" spans="13:18" ht="18.75">
      <c r="M230" s="450"/>
      <c r="N230" s="408"/>
      <c r="O230" s="408"/>
      <c r="P230" s="408"/>
      <c r="Q230" s="408"/>
      <c r="R230" s="408"/>
    </row>
    <row r="231" spans="13:18" ht="18.75">
      <c r="M231" s="450"/>
      <c r="N231" s="408"/>
      <c r="O231" s="408"/>
      <c r="P231" s="408"/>
      <c r="Q231" s="408"/>
      <c r="R231" s="408"/>
    </row>
    <row r="232" spans="13:18" ht="18.75">
      <c r="M232" s="450"/>
      <c r="N232" s="408"/>
      <c r="O232" s="408"/>
      <c r="P232" s="408"/>
      <c r="Q232" s="408"/>
      <c r="R232" s="408"/>
    </row>
    <row r="233" spans="13:18" ht="18.75">
      <c r="M233" s="450"/>
      <c r="N233" s="408"/>
      <c r="O233" s="408"/>
      <c r="P233" s="408"/>
      <c r="Q233" s="408"/>
      <c r="R233" s="408"/>
    </row>
    <row r="234" spans="13:18" ht="18.75">
      <c r="M234" s="450"/>
      <c r="N234" s="408"/>
      <c r="O234" s="408"/>
      <c r="P234" s="408"/>
      <c r="Q234" s="408"/>
      <c r="R234" s="408"/>
    </row>
    <row r="235" spans="13:18" ht="18.75">
      <c r="M235" s="450"/>
      <c r="N235" s="408"/>
      <c r="O235" s="408"/>
      <c r="P235" s="408"/>
      <c r="Q235" s="408"/>
      <c r="R235" s="408"/>
    </row>
    <row r="236" spans="13:18" ht="18.75">
      <c r="M236" s="450"/>
      <c r="N236" s="408"/>
      <c r="O236" s="408"/>
      <c r="P236" s="408"/>
      <c r="Q236" s="408"/>
      <c r="R236" s="408"/>
    </row>
    <row r="237" spans="13:18" ht="18.75">
      <c r="M237" s="450"/>
      <c r="N237" s="408"/>
      <c r="O237" s="408"/>
      <c r="P237" s="408"/>
      <c r="Q237" s="408"/>
      <c r="R237" s="408"/>
    </row>
    <row r="238" spans="13:18" ht="18.75">
      <c r="M238" s="450"/>
      <c r="N238" s="408"/>
      <c r="O238" s="408"/>
      <c r="P238" s="408"/>
      <c r="Q238" s="408"/>
      <c r="R238" s="408"/>
    </row>
    <row r="239" spans="13:18" ht="18.75">
      <c r="M239" s="450"/>
      <c r="N239" s="408"/>
      <c r="O239" s="408"/>
      <c r="P239" s="408"/>
      <c r="Q239" s="408"/>
      <c r="R239" s="408"/>
    </row>
    <row r="240" spans="13:18" ht="18.75">
      <c r="M240" s="450"/>
      <c r="N240" s="408"/>
      <c r="O240" s="408"/>
      <c r="P240" s="408"/>
      <c r="Q240" s="408"/>
      <c r="R240" s="408"/>
    </row>
    <row r="241" spans="13:18" ht="18.75">
      <c r="M241" s="450"/>
      <c r="N241" s="408"/>
      <c r="O241" s="408"/>
      <c r="P241" s="408"/>
      <c r="Q241" s="408"/>
      <c r="R241" s="408"/>
    </row>
    <row r="242" spans="13:18" ht="18.75">
      <c r="M242" s="450"/>
      <c r="N242" s="408"/>
      <c r="O242" s="408"/>
      <c r="P242" s="408"/>
      <c r="Q242" s="408"/>
      <c r="R242" s="408"/>
    </row>
    <row r="243" spans="13:18" ht="18.75">
      <c r="M243" s="450"/>
      <c r="N243" s="408"/>
      <c r="O243" s="408"/>
      <c r="P243" s="408"/>
      <c r="Q243" s="408"/>
      <c r="R243" s="408"/>
    </row>
    <row r="244" spans="13:18" ht="18.75">
      <c r="M244" s="450"/>
      <c r="N244" s="408"/>
      <c r="O244" s="408"/>
      <c r="P244" s="408"/>
      <c r="Q244" s="408"/>
      <c r="R244" s="408"/>
    </row>
    <row r="245" spans="13:18" ht="18.75">
      <c r="M245" s="450"/>
      <c r="N245" s="408"/>
      <c r="O245" s="408"/>
      <c r="P245" s="408"/>
      <c r="Q245" s="408"/>
      <c r="R245" s="408"/>
    </row>
    <row r="246" spans="13:18" ht="18.75">
      <c r="M246" s="450"/>
      <c r="N246" s="408"/>
      <c r="O246" s="408"/>
      <c r="P246" s="408"/>
      <c r="Q246" s="408"/>
      <c r="R246" s="408"/>
    </row>
    <row r="247" spans="13:18" ht="18.75">
      <c r="M247" s="450"/>
      <c r="N247" s="408"/>
      <c r="O247" s="408"/>
      <c r="P247" s="408"/>
      <c r="Q247" s="408"/>
      <c r="R247" s="408"/>
    </row>
    <row r="248" spans="13:18" ht="18.75">
      <c r="M248" s="450"/>
      <c r="N248" s="408"/>
      <c r="O248" s="408"/>
      <c r="P248" s="408"/>
      <c r="Q248" s="408"/>
      <c r="R248" s="408"/>
    </row>
    <row r="249" spans="13:18" ht="18.75">
      <c r="M249" s="450"/>
      <c r="N249" s="408"/>
      <c r="O249" s="408"/>
      <c r="P249" s="408"/>
      <c r="Q249" s="408"/>
      <c r="R249" s="408"/>
    </row>
    <row r="250" spans="13:18" ht="18.75">
      <c r="M250" s="450"/>
      <c r="N250" s="408"/>
      <c r="O250" s="408"/>
      <c r="P250" s="408"/>
      <c r="Q250" s="408"/>
      <c r="R250" s="408"/>
    </row>
    <row r="251" spans="13:18" ht="18.75">
      <c r="M251" s="450"/>
      <c r="N251" s="408"/>
      <c r="O251" s="408"/>
      <c r="P251" s="408"/>
      <c r="Q251" s="408"/>
      <c r="R251" s="408"/>
    </row>
    <row r="252" spans="13:18" ht="18.75">
      <c r="M252" s="450"/>
      <c r="N252" s="408"/>
      <c r="O252" s="408"/>
      <c r="P252" s="408"/>
      <c r="Q252" s="408"/>
      <c r="R252" s="408"/>
    </row>
    <row r="253" spans="13:18" ht="18.75">
      <c r="M253" s="450"/>
      <c r="N253" s="408"/>
      <c r="O253" s="408"/>
      <c r="P253" s="408"/>
      <c r="Q253" s="408"/>
      <c r="R253" s="408"/>
    </row>
    <row r="254" spans="13:18" ht="18.75">
      <c r="M254" s="450"/>
      <c r="N254" s="408"/>
      <c r="O254" s="408"/>
      <c r="P254" s="408"/>
      <c r="Q254" s="408"/>
      <c r="R254" s="408"/>
    </row>
    <row r="255" spans="13:18" ht="18.75">
      <c r="M255" s="450"/>
      <c r="N255" s="408"/>
      <c r="O255" s="408"/>
      <c r="P255" s="408"/>
      <c r="Q255" s="408"/>
      <c r="R255" s="408"/>
    </row>
    <row r="256" spans="13:18" ht="18.75">
      <c r="M256" s="450"/>
      <c r="N256" s="408"/>
      <c r="O256" s="408"/>
      <c r="P256" s="408"/>
      <c r="Q256" s="408"/>
      <c r="R256" s="408"/>
    </row>
    <row r="257" spans="13:18" ht="18.75">
      <c r="M257" s="450"/>
      <c r="N257" s="408"/>
      <c r="O257" s="408"/>
      <c r="P257" s="408"/>
      <c r="Q257" s="408"/>
      <c r="R257" s="408"/>
    </row>
    <row r="258" spans="13:18" ht="18.75">
      <c r="M258" s="450"/>
      <c r="N258" s="408"/>
      <c r="O258" s="408"/>
      <c r="P258" s="408"/>
      <c r="Q258" s="408"/>
      <c r="R258" s="408"/>
    </row>
    <row r="259" spans="13:18" ht="18.75">
      <c r="M259" s="450"/>
      <c r="N259" s="408"/>
      <c r="O259" s="408"/>
      <c r="P259" s="408"/>
      <c r="Q259" s="408"/>
      <c r="R259" s="408"/>
    </row>
    <row r="260" spans="13:18" ht="18.75">
      <c r="M260" s="450"/>
      <c r="N260" s="408"/>
      <c r="O260" s="408"/>
      <c r="P260" s="408"/>
      <c r="Q260" s="408"/>
      <c r="R260" s="408"/>
    </row>
    <row r="261" spans="13:18" ht="18.75">
      <c r="M261" s="450"/>
      <c r="N261" s="408"/>
      <c r="O261" s="408"/>
      <c r="P261" s="408"/>
      <c r="Q261" s="408"/>
      <c r="R261" s="408"/>
    </row>
    <row r="262" spans="13:18" ht="18.75">
      <c r="M262" s="450"/>
      <c r="N262" s="408"/>
      <c r="O262" s="408"/>
      <c r="P262" s="408"/>
      <c r="Q262" s="408"/>
      <c r="R262" s="408"/>
    </row>
    <row r="263" spans="13:18" ht="18.75">
      <c r="M263" s="450"/>
      <c r="N263" s="408"/>
      <c r="O263" s="408"/>
      <c r="P263" s="408"/>
      <c r="Q263" s="408"/>
      <c r="R263" s="408"/>
    </row>
    <row r="264" spans="13:18" ht="18.75">
      <c r="M264" s="450"/>
      <c r="N264" s="408"/>
      <c r="O264" s="408"/>
      <c r="P264" s="408"/>
      <c r="Q264" s="408"/>
      <c r="R264" s="408"/>
    </row>
    <row r="265" spans="13:18" ht="18.75">
      <c r="M265" s="450"/>
      <c r="N265" s="408"/>
      <c r="O265" s="408"/>
      <c r="P265" s="408"/>
      <c r="Q265" s="408"/>
      <c r="R265" s="408"/>
    </row>
    <row r="266" spans="13:18" ht="18.75">
      <c r="M266" s="450"/>
      <c r="N266" s="408"/>
      <c r="O266" s="408"/>
      <c r="P266" s="408"/>
      <c r="Q266" s="408"/>
      <c r="R266" s="408"/>
    </row>
    <row r="267" spans="13:18" ht="18.75">
      <c r="M267" s="450"/>
      <c r="N267" s="408"/>
      <c r="O267" s="408"/>
      <c r="P267" s="408"/>
      <c r="Q267" s="408"/>
      <c r="R267" s="408"/>
    </row>
    <row r="268" spans="13:18" ht="18.75">
      <c r="M268" s="450"/>
      <c r="N268" s="408"/>
      <c r="O268" s="408"/>
      <c r="P268" s="408"/>
      <c r="Q268" s="408"/>
      <c r="R268" s="408"/>
    </row>
    <row r="269" spans="13:18" ht="18.75">
      <c r="M269" s="450"/>
      <c r="N269" s="408"/>
      <c r="O269" s="408"/>
      <c r="P269" s="408"/>
      <c r="Q269" s="408"/>
      <c r="R269" s="408"/>
    </row>
    <row r="270" spans="13:18" ht="18.75">
      <c r="M270" s="450"/>
      <c r="N270" s="408"/>
      <c r="O270" s="408"/>
      <c r="P270" s="408"/>
      <c r="Q270" s="408"/>
      <c r="R270" s="408"/>
    </row>
    <row r="271" spans="13:18" ht="18.75">
      <c r="M271" s="450"/>
      <c r="N271" s="408"/>
      <c r="O271" s="408"/>
      <c r="P271" s="408"/>
      <c r="Q271" s="408"/>
      <c r="R271" s="408"/>
    </row>
    <row r="272" spans="13:18" ht="18.75">
      <c r="M272" s="450"/>
      <c r="N272" s="408"/>
      <c r="O272" s="408"/>
      <c r="P272" s="408"/>
      <c r="Q272" s="408"/>
      <c r="R272" s="408"/>
    </row>
    <row r="273" spans="13:18" ht="18.75">
      <c r="M273" s="450"/>
      <c r="N273" s="408"/>
      <c r="O273" s="408"/>
      <c r="P273" s="408"/>
      <c r="Q273" s="408"/>
      <c r="R273" s="408"/>
    </row>
  </sheetData>
  <sheetProtection/>
  <mergeCells count="8">
    <mergeCell ref="A114:R114"/>
    <mergeCell ref="A156:H181"/>
    <mergeCell ref="A2:R2"/>
    <mergeCell ref="M3:R3"/>
    <mergeCell ref="A4:A5"/>
    <mergeCell ref="B4:F4"/>
    <mergeCell ref="G4:N4"/>
    <mergeCell ref="A7:R7"/>
  </mergeCells>
  <printOptions/>
  <pageMargins left="0.7086614173228347" right="0.7086614173228347" top="0.7480314960629921" bottom="0.4724409448818898" header="0.31496062992125984" footer="0.31496062992125984"/>
  <pageSetup horizontalDpi="300" verticalDpi="300" orientation="landscape" paperSize="9" scale="60" r:id="rId1"/>
  <colBreaks count="1" manualBreakCount="1">
    <brk id="17" max="65535" man="1"/>
  </colBreaks>
</worksheet>
</file>

<file path=xl/worksheets/sheet6.xml><?xml version="1.0" encoding="utf-8"?>
<worksheet xmlns="http://schemas.openxmlformats.org/spreadsheetml/2006/main" xmlns:r="http://schemas.openxmlformats.org/officeDocument/2006/relationships">
  <sheetPr>
    <tabColor theme="0"/>
    <pageSetUpPr fitToPage="1"/>
  </sheetPr>
  <dimension ref="A1:M78"/>
  <sheetViews>
    <sheetView showZeros="0" tabSelected="1" view="pageBreakPreview" zoomScale="70" zoomScaleNormal="65" zoomScaleSheetLayoutView="70" zoomScalePageLayoutView="40" workbookViewId="0" topLeftCell="A1">
      <pane xSplit="2" ySplit="8" topLeftCell="E9" activePane="bottomRight" state="frozen"/>
      <selection pane="topLeft" activeCell="A1" sqref="A1"/>
      <selection pane="topRight" activeCell="C1" sqref="C1"/>
      <selection pane="bottomLeft" activeCell="A8" sqref="A8"/>
      <selection pane="bottomRight" activeCell="A3" sqref="A3:J3"/>
    </sheetView>
  </sheetViews>
  <sheetFormatPr defaultColWidth="12.19921875" defaultRowHeight="15"/>
  <cols>
    <col min="1" max="1" width="8.09765625" style="644" customWidth="1"/>
    <col min="2" max="2" width="54.3984375" style="767" customWidth="1"/>
    <col min="3" max="3" width="11.3984375" style="768" customWidth="1"/>
    <col min="4" max="4" width="14.8984375" style="773" customWidth="1"/>
    <col min="5" max="5" width="15.3984375" style="773" customWidth="1"/>
    <col min="6" max="6" width="14.296875" style="652" customWidth="1"/>
    <col min="7" max="7" width="11.69921875" style="649" customWidth="1"/>
    <col min="8" max="8" width="12" style="649" customWidth="1"/>
    <col min="9" max="9" width="12.19921875" style="772" customWidth="1"/>
    <col min="10" max="10" width="11.296875" style="772" customWidth="1"/>
    <col min="11" max="13" width="12.8984375" style="652" bestFit="1" customWidth="1"/>
    <col min="14" max="14" width="12.19921875" style="652" customWidth="1"/>
    <col min="15" max="16384" width="12.19921875" style="652" customWidth="1"/>
  </cols>
  <sheetData>
    <row r="1" spans="2:10" ht="23.25">
      <c r="B1" s="645"/>
      <c r="C1" s="646"/>
      <c r="D1" s="647"/>
      <c r="E1" s="647"/>
      <c r="F1" s="648"/>
      <c r="H1" s="650"/>
      <c r="I1" s="784" t="s">
        <v>187</v>
      </c>
      <c r="J1" s="651"/>
    </row>
    <row r="2" spans="1:10" s="653" customFormat="1" ht="22.5" customHeight="1">
      <c r="A2" s="837" t="s">
        <v>364</v>
      </c>
      <c r="B2" s="837"/>
      <c r="C2" s="837"/>
      <c r="D2" s="837"/>
      <c r="E2" s="837"/>
      <c r="F2" s="837"/>
      <c r="G2" s="837"/>
      <c r="H2" s="837"/>
      <c r="I2" s="837"/>
      <c r="J2" s="837"/>
    </row>
    <row r="3" spans="1:10" s="653" customFormat="1" ht="22.5">
      <c r="A3" s="837" t="s">
        <v>196</v>
      </c>
      <c r="B3" s="837"/>
      <c r="C3" s="837"/>
      <c r="D3" s="837"/>
      <c r="E3" s="837"/>
      <c r="F3" s="837"/>
      <c r="G3" s="837"/>
      <c r="H3" s="837"/>
      <c r="I3" s="837"/>
      <c r="J3" s="837"/>
    </row>
    <row r="4" spans="1:10" s="653" customFormat="1" ht="12" customHeight="1">
      <c r="A4" s="654"/>
      <c r="B4" s="655"/>
      <c r="C4" s="656"/>
      <c r="D4" s="657"/>
      <c r="E4" s="657"/>
      <c r="F4" s="658"/>
      <c r="G4" s="659"/>
      <c r="H4" s="660"/>
      <c r="I4" s="661"/>
      <c r="J4" s="662"/>
    </row>
    <row r="5" spans="1:10" s="663" customFormat="1" ht="24.75" customHeight="1">
      <c r="A5" s="850" t="s">
        <v>185</v>
      </c>
      <c r="B5" s="853" t="s">
        <v>61</v>
      </c>
      <c r="C5" s="838" t="s">
        <v>192</v>
      </c>
      <c r="D5" s="639" t="s">
        <v>193</v>
      </c>
      <c r="E5" s="857" t="s">
        <v>194</v>
      </c>
      <c r="F5" s="857"/>
      <c r="G5" s="857"/>
      <c r="H5" s="857"/>
      <c r="I5" s="857"/>
      <c r="J5" s="857"/>
    </row>
    <row r="6" spans="1:10" s="663" customFormat="1" ht="83.25" customHeight="1">
      <c r="A6" s="851"/>
      <c r="B6" s="853"/>
      <c r="C6" s="839"/>
      <c r="D6" s="845" t="s">
        <v>211</v>
      </c>
      <c r="E6" s="847" t="s">
        <v>212</v>
      </c>
      <c r="F6" s="845" t="s">
        <v>211</v>
      </c>
      <c r="G6" s="845" t="s">
        <v>197</v>
      </c>
      <c r="H6" s="843" t="s">
        <v>198</v>
      </c>
      <c r="I6" s="841" t="s">
        <v>209</v>
      </c>
      <c r="J6" s="842"/>
    </row>
    <row r="7" spans="1:10" s="665" customFormat="1" ht="63.75" customHeight="1">
      <c r="A7" s="852"/>
      <c r="B7" s="853"/>
      <c r="C7" s="840"/>
      <c r="D7" s="846"/>
      <c r="E7" s="848"/>
      <c r="F7" s="846"/>
      <c r="G7" s="846"/>
      <c r="H7" s="844"/>
      <c r="I7" s="664" t="s">
        <v>210</v>
      </c>
      <c r="J7" s="664" t="s">
        <v>213</v>
      </c>
    </row>
    <row r="8" spans="1:11" s="672" customFormat="1" ht="18.75" hidden="1">
      <c r="A8" s="666"/>
      <c r="B8" s="667">
        <v>1</v>
      </c>
      <c r="C8" s="668">
        <v>2</v>
      </c>
      <c r="D8" s="668">
        <v>3</v>
      </c>
      <c r="E8" s="668">
        <v>4</v>
      </c>
      <c r="F8" s="668">
        <v>5</v>
      </c>
      <c r="G8" s="668">
        <v>6</v>
      </c>
      <c r="H8" s="669">
        <v>7</v>
      </c>
      <c r="I8" s="670">
        <v>8</v>
      </c>
      <c r="J8" s="670">
        <v>9</v>
      </c>
      <c r="K8" s="671"/>
    </row>
    <row r="9" spans="1:13" s="643" customFormat="1" ht="38.25" customHeight="1">
      <c r="A9" s="638"/>
      <c r="B9" s="639" t="s">
        <v>188</v>
      </c>
      <c r="C9" s="639"/>
      <c r="D9" s="640">
        <f>D10+D11</f>
        <v>1726.005</v>
      </c>
      <c r="E9" s="640">
        <f>E10+E11</f>
        <v>1876.01</v>
      </c>
      <c r="F9" s="640">
        <f>F10+F11</f>
        <v>2028.16</v>
      </c>
      <c r="G9" s="640">
        <f aca="true" t="shared" si="0" ref="G9:G15">F9/F$48*100</f>
        <v>18.76713186913753</v>
      </c>
      <c r="H9" s="640">
        <f aca="true" t="shared" si="1" ref="H9:H15">F9/E9*100</f>
        <v>108.11029791952069</v>
      </c>
      <c r="I9" s="641">
        <f>F9-D9</f>
        <v>302.155</v>
      </c>
      <c r="J9" s="641">
        <f>F9/D9*100-100</f>
        <v>17.50603271717057</v>
      </c>
      <c r="K9" s="642"/>
      <c r="L9" s="642"/>
      <c r="M9" s="642"/>
    </row>
    <row r="10" spans="1:13" s="672" customFormat="1" ht="17.25" customHeight="1">
      <c r="A10" s="666"/>
      <c r="B10" s="673" t="s">
        <v>189</v>
      </c>
      <c r="C10" s="673"/>
      <c r="D10" s="674">
        <v>1709.856</v>
      </c>
      <c r="E10" s="674">
        <v>1876.01</v>
      </c>
      <c r="F10" s="674">
        <v>2028.16</v>
      </c>
      <c r="G10" s="674">
        <f t="shared" si="0"/>
        <v>18.76713186913753</v>
      </c>
      <c r="H10" s="674">
        <f t="shared" si="1"/>
        <v>108.11029791952069</v>
      </c>
      <c r="I10" s="675">
        <f aca="true" t="shared" si="2" ref="I10:I17">F10-D10</f>
        <v>318.3040000000001</v>
      </c>
      <c r="J10" s="675">
        <f>F10/D10*100-100</f>
        <v>18.615836655250504</v>
      </c>
      <c r="K10" s="676"/>
      <c r="L10" s="676"/>
      <c r="M10" s="676"/>
    </row>
    <row r="11" spans="1:13" s="672" customFormat="1" ht="17.25" customHeight="1">
      <c r="A11" s="666"/>
      <c r="B11" s="673" t="s">
        <v>190</v>
      </c>
      <c r="C11" s="673"/>
      <c r="D11" s="674">
        <v>16.149</v>
      </c>
      <c r="E11" s="674">
        <v>0</v>
      </c>
      <c r="F11" s="674">
        <v>0</v>
      </c>
      <c r="G11" s="674">
        <f t="shared" si="0"/>
        <v>0</v>
      </c>
      <c r="H11" s="786" t="e">
        <f t="shared" si="1"/>
        <v>#DIV/0!</v>
      </c>
      <c r="I11" s="675">
        <f t="shared" si="2"/>
        <v>-16.149</v>
      </c>
      <c r="J11" s="675"/>
      <c r="K11" s="671"/>
      <c r="L11" s="671"/>
      <c r="M11" s="671"/>
    </row>
    <row r="12" spans="1:10" s="643" customFormat="1" ht="42" customHeight="1">
      <c r="A12" s="638"/>
      <c r="B12" s="639" t="s">
        <v>191</v>
      </c>
      <c r="C12" s="639"/>
      <c r="D12" s="640">
        <f>D13+D14</f>
        <v>4486.666</v>
      </c>
      <c r="E12" s="640">
        <f>E13+E14</f>
        <v>8851.07</v>
      </c>
      <c r="F12" s="640">
        <f>F13+F14</f>
        <v>8778.819</v>
      </c>
      <c r="G12" s="640">
        <f t="shared" si="0"/>
        <v>81.23286813086249</v>
      </c>
      <c r="H12" s="640">
        <f t="shared" si="1"/>
        <v>99.18370321328382</v>
      </c>
      <c r="I12" s="641">
        <v>4292.1</v>
      </c>
      <c r="J12" s="641" t="s">
        <v>228</v>
      </c>
    </row>
    <row r="13" spans="1:13" s="672" customFormat="1" ht="21.75" customHeight="1">
      <c r="A13" s="666"/>
      <c r="B13" s="673" t="s">
        <v>189</v>
      </c>
      <c r="C13" s="673"/>
      <c r="D13" s="674">
        <v>20.829</v>
      </c>
      <c r="E13" s="674">
        <v>351.07</v>
      </c>
      <c r="F13" s="674">
        <v>335.393</v>
      </c>
      <c r="G13" s="674">
        <f t="shared" si="0"/>
        <v>3.10348525707323</v>
      </c>
      <c r="H13" s="674">
        <f t="shared" si="1"/>
        <v>95.5345087874213</v>
      </c>
      <c r="I13" s="677">
        <f t="shared" si="2"/>
        <v>314.56399999999996</v>
      </c>
      <c r="J13" s="675" t="s">
        <v>229</v>
      </c>
      <c r="K13" s="676"/>
      <c r="L13" s="676"/>
      <c r="M13" s="676"/>
    </row>
    <row r="14" spans="1:13" s="672" customFormat="1" ht="21.75" customHeight="1">
      <c r="A14" s="666"/>
      <c r="B14" s="673" t="s">
        <v>190</v>
      </c>
      <c r="C14" s="673"/>
      <c r="D14" s="674">
        <v>4465.837</v>
      </c>
      <c r="E14" s="674">
        <v>8500</v>
      </c>
      <c r="F14" s="674">
        <v>8443.426</v>
      </c>
      <c r="G14" s="674">
        <f t="shared" si="0"/>
        <v>78.12938287378924</v>
      </c>
      <c r="H14" s="674">
        <f t="shared" si="1"/>
        <v>99.33442352941177</v>
      </c>
      <c r="I14" s="675">
        <f t="shared" si="2"/>
        <v>3977.588999999999</v>
      </c>
      <c r="J14" s="675" t="s">
        <v>230</v>
      </c>
      <c r="K14" s="671"/>
      <c r="L14" s="678"/>
      <c r="M14" s="678"/>
    </row>
    <row r="15" spans="1:13" s="643" customFormat="1" ht="24.75" customHeight="1">
      <c r="A15" s="638"/>
      <c r="B15" s="639" t="s">
        <v>214</v>
      </c>
      <c r="C15" s="639"/>
      <c r="D15" s="640">
        <f>D12+D9</f>
        <v>6212.671</v>
      </c>
      <c r="E15" s="640">
        <f>E12+E9</f>
        <v>10727.08</v>
      </c>
      <c r="F15" s="640">
        <f>F12+F9</f>
        <v>10806.979</v>
      </c>
      <c r="G15" s="640">
        <f t="shared" si="0"/>
        <v>100</v>
      </c>
      <c r="H15" s="640">
        <f t="shared" si="1"/>
        <v>100.74483456821429</v>
      </c>
      <c r="I15" s="641">
        <f t="shared" si="2"/>
        <v>4594.307999999999</v>
      </c>
      <c r="J15" s="641" t="s">
        <v>231</v>
      </c>
      <c r="K15" s="642"/>
      <c r="L15" s="642"/>
      <c r="M15" s="642"/>
    </row>
    <row r="16" spans="1:13" s="643" customFormat="1" ht="23.25" customHeight="1">
      <c r="A16" s="638"/>
      <c r="B16" s="639" t="s">
        <v>189</v>
      </c>
      <c r="C16" s="639"/>
      <c r="D16" s="640">
        <f>D10+D13</f>
        <v>1730.685</v>
      </c>
      <c r="E16" s="640">
        <f>E10+E13</f>
        <v>2227.08</v>
      </c>
      <c r="F16" s="640">
        <f>F10+F13</f>
        <v>2363.553</v>
      </c>
      <c r="G16" s="640">
        <f>F16/F15*100</f>
        <v>21.870617126210757</v>
      </c>
      <c r="H16" s="640">
        <f>F16/E16*100</f>
        <v>106.12788943369793</v>
      </c>
      <c r="I16" s="641">
        <f t="shared" si="2"/>
        <v>632.8679999999999</v>
      </c>
      <c r="J16" s="641">
        <f>F16/D16*100-100</f>
        <v>36.56748628433252</v>
      </c>
      <c r="K16" s="642"/>
      <c r="L16" s="642"/>
      <c r="M16" s="642"/>
    </row>
    <row r="17" spans="1:13" s="643" customFormat="1" ht="24.75" customHeight="1">
      <c r="A17" s="638"/>
      <c r="B17" s="639" t="s">
        <v>190</v>
      </c>
      <c r="C17" s="639"/>
      <c r="D17" s="640">
        <f>D14+D11</f>
        <v>4481.986000000001</v>
      </c>
      <c r="E17" s="640">
        <f>E14+E11</f>
        <v>8500</v>
      </c>
      <c r="F17" s="640">
        <f>F14+F11</f>
        <v>8443.426</v>
      </c>
      <c r="G17" s="640">
        <f>F17/F15*100</f>
        <v>78.12938287378924</v>
      </c>
      <c r="H17" s="640">
        <f>F17/E17*100</f>
        <v>99.33442352941177</v>
      </c>
      <c r="I17" s="641">
        <f t="shared" si="2"/>
        <v>3961.4399999999987</v>
      </c>
      <c r="J17" s="641">
        <f>F17/D17*100-100</f>
        <v>88.3858182511056</v>
      </c>
      <c r="K17" s="642"/>
      <c r="L17" s="642"/>
      <c r="M17" s="642"/>
    </row>
    <row r="18" spans="1:13" s="672" customFormat="1" ht="27.75" customHeight="1">
      <c r="A18" s="638"/>
      <c r="B18" s="854" t="s">
        <v>98</v>
      </c>
      <c r="C18" s="855"/>
      <c r="D18" s="855"/>
      <c r="E18" s="855"/>
      <c r="F18" s="855"/>
      <c r="G18" s="855"/>
      <c r="H18" s="855"/>
      <c r="I18" s="855"/>
      <c r="J18" s="856"/>
      <c r="K18" s="671"/>
      <c r="L18" s="671"/>
      <c r="M18" s="671"/>
    </row>
    <row r="19" spans="1:13" s="687" customFormat="1" ht="30" customHeight="1">
      <c r="A19" s="679" t="s">
        <v>200</v>
      </c>
      <c r="B19" s="680" t="s">
        <v>199</v>
      </c>
      <c r="C19" s="681">
        <v>40000000</v>
      </c>
      <c r="D19" s="682">
        <f>D20+D21</f>
        <v>4481.986</v>
      </c>
      <c r="E19" s="682">
        <f>E20+E21</f>
        <v>8500</v>
      </c>
      <c r="F19" s="682">
        <f>F20+F21</f>
        <v>8443.426</v>
      </c>
      <c r="G19" s="684">
        <f>F19/F$48*100</f>
        <v>78.12938287378924</v>
      </c>
      <c r="H19" s="684">
        <f>F19/E19*100</f>
        <v>99.33442352941177</v>
      </c>
      <c r="I19" s="685">
        <f>F19-D19</f>
        <v>3961.4399999999996</v>
      </c>
      <c r="J19" s="685">
        <f>F19/D19*100-100</f>
        <v>88.38581825110566</v>
      </c>
      <c r="K19" s="686"/>
      <c r="L19" s="686"/>
      <c r="M19" s="686"/>
    </row>
    <row r="20" spans="1:10" s="663" customFormat="1" ht="118.5" customHeight="1">
      <c r="A20" s="697"/>
      <c r="B20" s="698" t="s">
        <v>13</v>
      </c>
      <c r="C20" s="688">
        <v>41052600</v>
      </c>
      <c r="D20" s="699">
        <v>3920.267</v>
      </c>
      <c r="E20" s="699">
        <v>8000</v>
      </c>
      <c r="F20" s="699">
        <v>7943.426</v>
      </c>
      <c r="G20" s="689">
        <f>F20/F$48*100</f>
        <v>73.50274299598436</v>
      </c>
      <c r="H20" s="700">
        <f>F20/E20*100</f>
        <v>99.29282500000001</v>
      </c>
      <c r="I20" s="677">
        <f>F20-D20</f>
        <v>4023.1590000000006</v>
      </c>
      <c r="J20" s="677">
        <f>F20/D20*100-100</f>
        <v>102.62461714980131</v>
      </c>
    </row>
    <row r="21" spans="1:10" s="702" customFormat="1" ht="59.25" customHeight="1">
      <c r="A21" s="679"/>
      <c r="B21" s="704" t="s">
        <v>365</v>
      </c>
      <c r="C21" s="688">
        <v>41053900</v>
      </c>
      <c r="D21" s="1">
        <v>561.719</v>
      </c>
      <c r="E21" s="1">
        <v>500</v>
      </c>
      <c r="F21" s="1">
        <v>500</v>
      </c>
      <c r="G21" s="689">
        <f>F21/F$48*100</f>
        <v>4.626639877804889</v>
      </c>
      <c r="H21" s="689">
        <f>F21/E21*100</f>
        <v>100</v>
      </c>
      <c r="I21" s="677">
        <f>F21-D21</f>
        <v>-61.71900000000005</v>
      </c>
      <c r="J21" s="677">
        <f>F21/D21*100-100</f>
        <v>-10.987522230866333</v>
      </c>
    </row>
    <row r="22" spans="1:10" s="705" customFormat="1" ht="45" customHeight="1">
      <c r="A22" s="854" t="s">
        <v>195</v>
      </c>
      <c r="B22" s="855"/>
      <c r="C22" s="855"/>
      <c r="D22" s="855"/>
      <c r="E22" s="855"/>
      <c r="F22" s="855"/>
      <c r="G22" s="855"/>
      <c r="H22" s="855"/>
      <c r="I22" s="855"/>
      <c r="J22" s="856"/>
    </row>
    <row r="23" spans="1:10" s="691" customFormat="1" ht="58.5" customHeight="1">
      <c r="A23" s="695" t="s">
        <v>201</v>
      </c>
      <c r="B23" s="701" t="s">
        <v>215</v>
      </c>
      <c r="C23" s="681"/>
      <c r="D23" s="696">
        <f>D24+D26+D30</f>
        <v>1709.8069999999998</v>
      </c>
      <c r="E23" s="696">
        <f>E24+E26+E30</f>
        <v>1876.0100000000002</v>
      </c>
      <c r="F23" s="696">
        <f>F24+F26+F30</f>
        <v>2028.1613499999999</v>
      </c>
      <c r="G23" s="683">
        <f aca="true" t="shared" si="3" ref="G23:G33">F23/F$48*100</f>
        <v>18.767144361065196</v>
      </c>
      <c r="H23" s="684">
        <f aca="true" t="shared" si="4" ref="H23:H31">F23/E23*100</f>
        <v>108.11036988075755</v>
      </c>
      <c r="I23" s="685">
        <f aca="true" t="shared" si="5" ref="I23:I33">F23-D23</f>
        <v>318.35435000000007</v>
      </c>
      <c r="J23" s="685">
        <f aca="true" t="shared" si="6" ref="J23:J33">F23/D23*100-100</f>
        <v>18.619314928527018</v>
      </c>
    </row>
    <row r="24" spans="1:10" s="702" customFormat="1" ht="42.75" customHeight="1">
      <c r="A24" s="706" t="s">
        <v>202</v>
      </c>
      <c r="B24" s="680" t="s">
        <v>204</v>
      </c>
      <c r="C24" s="681">
        <v>14000000</v>
      </c>
      <c r="D24" s="682">
        <f>D25</f>
        <v>78.243</v>
      </c>
      <c r="E24" s="682">
        <f>E25</f>
        <v>85.63</v>
      </c>
      <c r="F24" s="682">
        <f>F25</f>
        <v>82.407</v>
      </c>
      <c r="G24" s="683">
        <f t="shared" si="3"/>
        <v>0.762535024820535</v>
      </c>
      <c r="H24" s="684">
        <f t="shared" si="4"/>
        <v>96.23613219666005</v>
      </c>
      <c r="I24" s="685">
        <f t="shared" si="5"/>
        <v>4.1640000000000015</v>
      </c>
      <c r="J24" s="685">
        <f t="shared" si="6"/>
        <v>5.321881829684443</v>
      </c>
    </row>
    <row r="25" spans="1:10" s="709" customFormat="1" ht="37.5">
      <c r="A25" s="707"/>
      <c r="B25" s="708" t="s">
        <v>131</v>
      </c>
      <c r="C25" s="688">
        <v>14040000</v>
      </c>
      <c r="D25" s="1">
        <v>78.243</v>
      </c>
      <c r="E25" s="1">
        <v>85.63</v>
      </c>
      <c r="F25" s="1">
        <v>82.407</v>
      </c>
      <c r="G25" s="689">
        <f t="shared" si="3"/>
        <v>0.762535024820535</v>
      </c>
      <c r="H25" s="700">
        <f t="shared" si="4"/>
        <v>96.23613219666005</v>
      </c>
      <c r="I25" s="677">
        <f t="shared" si="5"/>
        <v>4.1640000000000015</v>
      </c>
      <c r="J25" s="677">
        <f t="shared" si="6"/>
        <v>5.321881829684443</v>
      </c>
    </row>
    <row r="26" spans="1:10" s="692" customFormat="1" ht="30" customHeight="1">
      <c r="A26" s="681" t="s">
        <v>203</v>
      </c>
      <c r="B26" s="710" t="s">
        <v>205</v>
      </c>
      <c r="C26" s="681">
        <v>18000000</v>
      </c>
      <c r="D26" s="682">
        <f>D27+D28+D29</f>
        <v>1603.32</v>
      </c>
      <c r="E26" s="682">
        <f>E27+E28+E29</f>
        <v>1761.21</v>
      </c>
      <c r="F26" s="682">
        <f>F27+F28+F29</f>
        <v>1915.0839999999998</v>
      </c>
      <c r="G26" s="683">
        <f t="shared" si="3"/>
        <v>17.720808007492195</v>
      </c>
      <c r="H26" s="684">
        <f t="shared" si="4"/>
        <v>108.73683433548524</v>
      </c>
      <c r="I26" s="685">
        <f t="shared" si="5"/>
        <v>311.7639999999999</v>
      </c>
      <c r="J26" s="685">
        <f t="shared" si="6"/>
        <v>19.44490182870544</v>
      </c>
    </row>
    <row r="27" spans="1:10" s="709" customFormat="1" ht="84" customHeight="1">
      <c r="A27" s="707"/>
      <c r="B27" s="708" t="s">
        <v>133</v>
      </c>
      <c r="C27" s="711" t="s">
        <v>298</v>
      </c>
      <c r="D27" s="1">
        <v>18.543</v>
      </c>
      <c r="E27" s="1">
        <v>18.75</v>
      </c>
      <c r="F27" s="1">
        <v>14.232</v>
      </c>
      <c r="G27" s="689">
        <f t="shared" si="3"/>
        <v>0.13169267748183835</v>
      </c>
      <c r="H27" s="700">
        <f t="shared" si="4"/>
        <v>75.904</v>
      </c>
      <c r="I27" s="677">
        <f t="shared" si="5"/>
        <v>-4.311</v>
      </c>
      <c r="J27" s="677">
        <f t="shared" si="6"/>
        <v>-23.248665264520312</v>
      </c>
    </row>
    <row r="28" spans="1:10" s="709" customFormat="1" ht="75" customHeight="1">
      <c r="A28" s="707"/>
      <c r="B28" s="708" t="s">
        <v>134</v>
      </c>
      <c r="C28" s="688" t="s">
        <v>135</v>
      </c>
      <c r="D28" s="1">
        <v>486.566</v>
      </c>
      <c r="E28" s="1">
        <v>495.83</v>
      </c>
      <c r="F28" s="1">
        <v>585.438</v>
      </c>
      <c r="G28" s="689">
        <f t="shared" si="3"/>
        <v>5.417221593564677</v>
      </c>
      <c r="H28" s="700">
        <f t="shared" si="4"/>
        <v>118.07232317528185</v>
      </c>
      <c r="I28" s="677">
        <f t="shared" si="5"/>
        <v>98.87200000000001</v>
      </c>
      <c r="J28" s="677">
        <f t="shared" si="6"/>
        <v>20.320367637689458</v>
      </c>
    </row>
    <row r="29" spans="1:10" s="709" customFormat="1" ht="24.75" customHeight="1">
      <c r="A29" s="707"/>
      <c r="B29" s="708" t="s">
        <v>136</v>
      </c>
      <c r="C29" s="688">
        <v>18050000</v>
      </c>
      <c r="D29" s="1">
        <v>1098.211</v>
      </c>
      <c r="E29" s="1">
        <v>1246.63</v>
      </c>
      <c r="F29" s="1">
        <v>1315.414</v>
      </c>
      <c r="G29" s="689">
        <f t="shared" si="3"/>
        <v>12.17189373644568</v>
      </c>
      <c r="H29" s="700">
        <f t="shared" si="4"/>
        <v>105.51759543729895</v>
      </c>
      <c r="I29" s="677">
        <f t="shared" si="5"/>
        <v>217.20299999999997</v>
      </c>
      <c r="J29" s="677">
        <f t="shared" si="6"/>
        <v>19.77789331922554</v>
      </c>
    </row>
    <row r="30" spans="1:10" s="687" customFormat="1" ht="30" customHeight="1">
      <c r="A30" s="706" t="s">
        <v>206</v>
      </c>
      <c r="B30" s="680" t="s">
        <v>207</v>
      </c>
      <c r="C30" s="681"/>
      <c r="D30" s="682">
        <f>D31+D32+D33</f>
        <v>28.244</v>
      </c>
      <c r="E30" s="682">
        <f>E31+E32+E33</f>
        <v>29.17</v>
      </c>
      <c r="F30" s="682">
        <f>F31+F32+F33</f>
        <v>30.670350000000003</v>
      </c>
      <c r="G30" s="684">
        <f t="shared" si="3"/>
        <v>0.2838013287524664</v>
      </c>
      <c r="H30" s="684">
        <f t="shared" si="4"/>
        <v>105.14346931779227</v>
      </c>
      <c r="I30" s="685">
        <f t="shared" si="5"/>
        <v>2.426350000000003</v>
      </c>
      <c r="J30" s="685">
        <f t="shared" si="6"/>
        <v>8.590674125477989</v>
      </c>
    </row>
    <row r="31" spans="1:10" s="732" customFormat="1" ht="19.5">
      <c r="A31" s="731"/>
      <c r="B31" s="729" t="s">
        <v>82</v>
      </c>
      <c r="C31" s="721">
        <v>21081100</v>
      </c>
      <c r="D31" s="1">
        <v>0</v>
      </c>
      <c r="E31" s="1">
        <v>0</v>
      </c>
      <c r="F31" s="1">
        <v>0.17</v>
      </c>
      <c r="G31" s="690">
        <f t="shared" si="3"/>
        <v>0.0015730575584536623</v>
      </c>
      <c r="H31" s="787" t="e">
        <f t="shared" si="4"/>
        <v>#DIV/0!</v>
      </c>
      <c r="I31" s="730">
        <f t="shared" si="5"/>
        <v>0.17</v>
      </c>
      <c r="J31" s="788" t="e">
        <f t="shared" si="6"/>
        <v>#DIV/0!</v>
      </c>
    </row>
    <row r="32" spans="1:10" s="726" customFormat="1" ht="63" customHeight="1">
      <c r="A32" s="736"/>
      <c r="B32" s="729" t="s">
        <v>87</v>
      </c>
      <c r="C32" s="721">
        <v>22080400</v>
      </c>
      <c r="D32" s="715">
        <v>28.04</v>
      </c>
      <c r="E32" s="715">
        <v>29</v>
      </c>
      <c r="F32" s="715">
        <v>30.389</v>
      </c>
      <c r="G32" s="717">
        <f t="shared" si="3"/>
        <v>0.2811979184932255</v>
      </c>
      <c r="H32" s="727">
        <f aca="true" t="shared" si="7" ref="H32:H41">F32/E32*100</f>
        <v>104.78965517241379</v>
      </c>
      <c r="I32" s="718">
        <f t="shared" si="5"/>
        <v>2.349</v>
      </c>
      <c r="J32" s="718">
        <f t="shared" si="6"/>
        <v>8.377318116975758</v>
      </c>
    </row>
    <row r="33" spans="1:10" s="726" customFormat="1" ht="22.5" customHeight="1">
      <c r="A33" s="736"/>
      <c r="B33" s="744" t="s">
        <v>88</v>
      </c>
      <c r="C33" s="721">
        <v>22090000</v>
      </c>
      <c r="D33" s="715">
        <v>0.204</v>
      </c>
      <c r="E33" s="715">
        <v>0.17</v>
      </c>
      <c r="F33" s="715">
        <v>0.11135</v>
      </c>
      <c r="G33" s="716">
        <f t="shared" si="3"/>
        <v>0.0010303527007871488</v>
      </c>
      <c r="H33" s="727">
        <f t="shared" si="7"/>
        <v>65.5</v>
      </c>
      <c r="I33" s="718">
        <f t="shared" si="5"/>
        <v>-0.09264999999999998</v>
      </c>
      <c r="J33" s="718">
        <f t="shared" si="6"/>
        <v>-45.41666666666666</v>
      </c>
    </row>
    <row r="34" spans="1:10" s="739" customFormat="1" ht="43.5" customHeight="1">
      <c r="A34" s="854" t="s">
        <v>195</v>
      </c>
      <c r="B34" s="855"/>
      <c r="C34" s="855"/>
      <c r="D34" s="855"/>
      <c r="E34" s="855"/>
      <c r="F34" s="855"/>
      <c r="G34" s="855"/>
      <c r="H34" s="855"/>
      <c r="I34" s="855"/>
      <c r="J34" s="856"/>
    </row>
    <row r="35" spans="1:10" s="738" customFormat="1" ht="44.25" customHeight="1">
      <c r="A35" s="706" t="s">
        <v>222</v>
      </c>
      <c r="B35" s="701" t="s">
        <v>216</v>
      </c>
      <c r="C35" s="681"/>
      <c r="D35" s="682">
        <f>D36+D37+D38+D40+D41</f>
        <v>20.828</v>
      </c>
      <c r="E35" s="682">
        <f>E36+E37+E38+E40+E41</f>
        <v>351.07</v>
      </c>
      <c r="F35" s="682">
        <v>335.4</v>
      </c>
      <c r="G35" s="683">
        <f>F35/F$48*100</f>
        <v>3.1035500300315193</v>
      </c>
      <c r="H35" s="684">
        <f t="shared" si="7"/>
        <v>95.53650269177086</v>
      </c>
      <c r="I35" s="685">
        <f aca="true" t="shared" si="8" ref="I35:I41">F35-D35</f>
        <v>314.572</v>
      </c>
      <c r="J35" s="685" t="s">
        <v>229</v>
      </c>
    </row>
    <row r="36" spans="1:10" s="743" customFormat="1" ht="26.25" customHeight="1">
      <c r="A36" s="785" t="s">
        <v>217</v>
      </c>
      <c r="B36" s="728" t="s">
        <v>247</v>
      </c>
      <c r="C36" s="714" t="s">
        <v>248</v>
      </c>
      <c r="D36" s="742">
        <v>0.253</v>
      </c>
      <c r="E36" s="742">
        <v>0.27</v>
      </c>
      <c r="F36" s="742">
        <v>0.21658</v>
      </c>
      <c r="G36" s="722">
        <f>F36/F$48*100</f>
        <v>0.0020040753294699658</v>
      </c>
      <c r="H36" s="734">
        <f t="shared" si="7"/>
        <v>80.2148148148148</v>
      </c>
      <c r="I36" s="735">
        <f t="shared" si="8"/>
        <v>-0.03642000000000001</v>
      </c>
      <c r="J36" s="735">
        <f aca="true" t="shared" si="9" ref="J36:J41">F36/D36*100-100</f>
        <v>-14.395256916996047</v>
      </c>
    </row>
    <row r="37" spans="1:10" s="732" customFormat="1" ht="53.25" customHeight="1">
      <c r="A37" s="720" t="s">
        <v>218</v>
      </c>
      <c r="B37" s="713" t="s">
        <v>80</v>
      </c>
      <c r="C37" s="714">
        <v>24062100</v>
      </c>
      <c r="D37" s="740">
        <v>0.399</v>
      </c>
      <c r="E37" s="740">
        <v>0</v>
      </c>
      <c r="F37" s="740">
        <v>0</v>
      </c>
      <c r="G37" s="725">
        <v>0</v>
      </c>
      <c r="H37" s="789" t="e">
        <f>F37/E37*100</f>
        <v>#DIV/0!</v>
      </c>
      <c r="I37" s="718">
        <f t="shared" si="8"/>
        <v>-0.399</v>
      </c>
      <c r="J37" s="737">
        <f t="shared" si="9"/>
        <v>-100</v>
      </c>
    </row>
    <row r="38" spans="1:10" s="719" customFormat="1" ht="30" customHeight="1">
      <c r="A38" s="745" t="s">
        <v>219</v>
      </c>
      <c r="B38" s="746" t="s">
        <v>208</v>
      </c>
      <c r="C38" s="747"/>
      <c r="D38" s="740">
        <f>D39</f>
        <v>0</v>
      </c>
      <c r="E38" s="740">
        <f>E39</f>
        <v>323</v>
      </c>
      <c r="F38" s="740">
        <f>F39</f>
        <v>323</v>
      </c>
      <c r="G38" s="717">
        <f>F38/F$48*100</f>
        <v>2.9888093610619584</v>
      </c>
      <c r="H38" s="727">
        <f t="shared" si="7"/>
        <v>100</v>
      </c>
      <c r="I38" s="718">
        <f t="shared" si="8"/>
        <v>323</v>
      </c>
      <c r="J38" s="790" t="e">
        <f t="shared" si="9"/>
        <v>#DIV/0!</v>
      </c>
    </row>
    <row r="39" spans="1:10" s="723" customFormat="1" ht="30" customHeight="1">
      <c r="A39" s="741"/>
      <c r="B39" s="748" t="s">
        <v>259</v>
      </c>
      <c r="C39" s="721">
        <v>33010000</v>
      </c>
      <c r="D39" s="742"/>
      <c r="E39" s="742">
        <v>323</v>
      </c>
      <c r="F39" s="742">
        <v>323</v>
      </c>
      <c r="G39" s="733">
        <f>F39/F$48*100</f>
        <v>2.9888093610619584</v>
      </c>
      <c r="H39" s="734">
        <f t="shared" si="7"/>
        <v>100</v>
      </c>
      <c r="I39" s="735">
        <f t="shared" si="8"/>
        <v>323</v>
      </c>
      <c r="J39" s="791" t="e">
        <f t="shared" si="9"/>
        <v>#DIV/0!</v>
      </c>
    </row>
    <row r="40" spans="1:10" s="719" customFormat="1" ht="30" customHeight="1">
      <c r="A40" s="724" t="s">
        <v>220</v>
      </c>
      <c r="B40" s="749" t="s">
        <v>255</v>
      </c>
      <c r="C40" s="714">
        <v>25000000</v>
      </c>
      <c r="D40" s="740">
        <v>5.72</v>
      </c>
      <c r="E40" s="740">
        <v>6</v>
      </c>
      <c r="F40" s="740">
        <v>3.1</v>
      </c>
      <c r="G40" s="717">
        <f>F40/F$48*100</f>
        <v>0.028685167242390314</v>
      </c>
      <c r="H40" s="727">
        <v>50.7</v>
      </c>
      <c r="I40" s="718">
        <v>-2.7</v>
      </c>
      <c r="J40" s="718">
        <v>-46.9</v>
      </c>
    </row>
    <row r="41" spans="1:10" s="719" customFormat="1" ht="30" customHeight="1">
      <c r="A41" s="712" t="s">
        <v>221</v>
      </c>
      <c r="B41" s="750" t="s">
        <v>186</v>
      </c>
      <c r="C41" s="714">
        <v>50000000</v>
      </c>
      <c r="D41" s="740">
        <v>14.456</v>
      </c>
      <c r="E41" s="740">
        <v>21.8</v>
      </c>
      <c r="F41" s="740">
        <v>9.13619</v>
      </c>
      <c r="G41" s="717">
        <f>F41/F$48*100</f>
        <v>0.08453972197040449</v>
      </c>
      <c r="H41" s="727">
        <f t="shared" si="7"/>
        <v>41.90912844036696</v>
      </c>
      <c r="I41" s="718">
        <f t="shared" si="8"/>
        <v>-5.31981</v>
      </c>
      <c r="J41" s="718">
        <f t="shared" si="9"/>
        <v>-36.80001383508578</v>
      </c>
    </row>
    <row r="42" spans="1:10" s="719" customFormat="1" ht="30" customHeight="1">
      <c r="A42" s="777"/>
      <c r="B42" s="778"/>
      <c r="C42" s="779"/>
      <c r="D42" s="780"/>
      <c r="E42" s="780"/>
      <c r="F42" s="780"/>
      <c r="G42" s="781"/>
      <c r="H42" s="782"/>
      <c r="I42" s="783"/>
      <c r="J42" s="783"/>
    </row>
    <row r="43" spans="1:10" s="719" customFormat="1" ht="30" customHeight="1">
      <c r="A43" s="777"/>
      <c r="B43" s="778"/>
      <c r="C43" s="779"/>
      <c r="D43" s="780"/>
      <c r="E43" s="780"/>
      <c r="F43" s="780"/>
      <c r="G43" s="781"/>
      <c r="H43" s="782"/>
      <c r="I43" s="783"/>
      <c r="J43" s="783"/>
    </row>
    <row r="44" spans="1:10" s="719" customFormat="1" ht="30" customHeight="1">
      <c r="A44" s="777"/>
      <c r="B44" s="778"/>
      <c r="C44" s="779"/>
      <c r="D44" s="780"/>
      <c r="E44" s="780"/>
      <c r="F44" s="780"/>
      <c r="G44" s="781"/>
      <c r="H44" s="782"/>
      <c r="I44" s="783"/>
      <c r="J44" s="783"/>
    </row>
    <row r="45" spans="1:10" s="759" customFormat="1" ht="16.5" customHeight="1">
      <c r="A45" s="751"/>
      <c r="B45" s="752"/>
      <c r="C45" s="753"/>
      <c r="D45" s="754"/>
      <c r="E45" s="754"/>
      <c r="F45" s="754"/>
      <c r="G45" s="755"/>
      <c r="H45" s="756"/>
      <c r="I45" s="757"/>
      <c r="J45" s="758"/>
    </row>
    <row r="46" spans="1:10" s="766" customFormat="1" ht="23.25" customHeight="1">
      <c r="A46" s="849" t="s">
        <v>158</v>
      </c>
      <c r="B46" s="849"/>
      <c r="C46" s="760"/>
      <c r="D46" s="761"/>
      <c r="E46" s="761"/>
      <c r="F46" s="761"/>
      <c r="G46" s="762"/>
      <c r="H46" s="763"/>
      <c r="I46" s="764"/>
      <c r="J46" s="765"/>
    </row>
    <row r="47" spans="1:10" s="766" customFormat="1" ht="24" customHeight="1">
      <c r="A47" s="849" t="s">
        <v>159</v>
      </c>
      <c r="B47" s="849"/>
      <c r="C47" s="760"/>
      <c r="D47" s="761"/>
      <c r="E47" s="761"/>
      <c r="F47" s="761"/>
      <c r="G47" s="762"/>
      <c r="H47" s="763"/>
      <c r="I47" s="764" t="s">
        <v>57</v>
      </c>
      <c r="J47" s="765"/>
    </row>
    <row r="48" spans="4:6" ht="18.75" hidden="1">
      <c r="D48" s="769">
        <f>D15</f>
        <v>6212.671</v>
      </c>
      <c r="E48" s="770">
        <f>E15</f>
        <v>10727.08</v>
      </c>
      <c r="F48" s="771">
        <f>F15</f>
        <v>10806.979</v>
      </c>
    </row>
    <row r="64" spans="1:10" s="694" customFormat="1" ht="18.75" hidden="1">
      <c r="A64" s="693"/>
      <c r="B64" s="774"/>
      <c r="C64" s="703"/>
      <c r="D64" s="699"/>
      <c r="E64" s="699"/>
      <c r="F64" s="699"/>
      <c r="G64" s="689">
        <v>0</v>
      </c>
      <c r="H64" s="700"/>
      <c r="I64" s="775"/>
      <c r="J64" s="677"/>
    </row>
    <row r="65" ht="18.75">
      <c r="H65" s="776"/>
    </row>
    <row r="66" ht="18.75">
      <c r="H66" s="776"/>
    </row>
    <row r="67" ht="18.75">
      <c r="H67" s="776"/>
    </row>
    <row r="68" ht="18.75">
      <c r="H68" s="776"/>
    </row>
    <row r="69" ht="18.75">
      <c r="H69" s="776"/>
    </row>
    <row r="70" ht="18.75">
      <c r="H70" s="776"/>
    </row>
    <row r="71" ht="18.75">
      <c r="H71" s="776"/>
    </row>
    <row r="72" ht="18.75">
      <c r="H72" s="776"/>
    </row>
    <row r="73" ht="18.75">
      <c r="H73" s="776"/>
    </row>
    <row r="74" ht="18.75">
      <c r="H74" s="776"/>
    </row>
    <row r="75" ht="18.75">
      <c r="H75" s="776"/>
    </row>
    <row r="76" ht="18.75">
      <c r="H76" s="776"/>
    </row>
    <row r="77" ht="18.75">
      <c r="H77" s="776"/>
    </row>
    <row r="78" ht="18.75">
      <c r="H78" s="776"/>
    </row>
  </sheetData>
  <sheetProtection/>
  <mergeCells count="17">
    <mergeCell ref="A46:B46"/>
    <mergeCell ref="A47:B47"/>
    <mergeCell ref="A5:A7"/>
    <mergeCell ref="B5:B7"/>
    <mergeCell ref="B18:J18"/>
    <mergeCell ref="A22:J22"/>
    <mergeCell ref="A34:J34"/>
    <mergeCell ref="E5:J5"/>
    <mergeCell ref="A2:J2"/>
    <mergeCell ref="A3:J3"/>
    <mergeCell ref="C5:C7"/>
    <mergeCell ref="I6:J6"/>
    <mergeCell ref="H6:H7"/>
    <mergeCell ref="G6:G7"/>
    <mergeCell ref="F6:F7"/>
    <mergeCell ref="E6:E7"/>
    <mergeCell ref="D6:D7"/>
  </mergeCells>
  <printOptions/>
  <pageMargins left="0.2755905511811024" right="0.15748031496062992" top="0.6299212598425197" bottom="0.2755905511811024" header="0.15748031496062992" footer="0.15748031496062992"/>
  <pageSetup fitToHeight="21" fitToWidth="1" horizontalDpi="600" verticalDpi="600" orientation="landscape" paperSize="9" scale="72" r:id="rId1"/>
  <headerFooter alignWithMargins="0">
    <oddFooter>&amp;R&amp;"Times New Roman,обычный"&amp;14Сторінка &amp;P</oddFooter>
  </headerFooter>
  <rowBreaks count="2" manualBreakCount="2">
    <brk id="17" max="9" man="1"/>
    <brk id="25" max="9" man="1"/>
  </rowBreaks>
</worksheet>
</file>

<file path=xl/worksheets/sheet7.xml><?xml version="1.0" encoding="utf-8"?>
<worksheet xmlns="http://schemas.openxmlformats.org/spreadsheetml/2006/main" xmlns:r="http://schemas.openxmlformats.org/officeDocument/2006/relationships">
  <sheetPr>
    <tabColor theme="0"/>
    <pageSetUpPr fitToPage="1"/>
  </sheetPr>
  <dimension ref="A1:X282"/>
  <sheetViews>
    <sheetView showZeros="0" view="pageBreakPreview" zoomScale="70" zoomScaleNormal="65" zoomScaleSheetLayoutView="70" zoomScalePageLayoutView="40" workbookViewId="0" topLeftCell="A142">
      <selection activeCell="L158" sqref="L158"/>
    </sheetView>
  </sheetViews>
  <sheetFormatPr defaultColWidth="12.19921875" defaultRowHeight="15"/>
  <cols>
    <col min="1" max="1" width="38" style="619" customWidth="1"/>
    <col min="2" max="2" width="11.3984375" style="620" customWidth="1"/>
    <col min="3" max="3" width="12.09765625" style="502" customWidth="1"/>
    <col min="4" max="4" width="12.19921875" style="621" customWidth="1"/>
    <col min="5" max="5" width="11.796875" style="621" customWidth="1"/>
    <col min="6" max="6" width="12.59765625" style="621" customWidth="1"/>
    <col min="7" max="7" width="13.8984375" style="621" customWidth="1"/>
    <col min="8" max="8" width="13.19921875" style="621" customWidth="1"/>
    <col min="9" max="9" width="11.69921875" style="527" customWidth="1"/>
    <col min="10" max="10" width="12.19921875" style="501" customWidth="1"/>
    <col min="11" max="11" width="12" style="527" customWidth="1"/>
    <col min="12" max="12" width="11.69921875" style="502" customWidth="1"/>
    <col min="13" max="13" width="12.69921875" style="502" customWidth="1"/>
    <col min="14" max="14" width="9.3984375" style="502" customWidth="1"/>
    <col min="15" max="15" width="11.69921875" style="502" customWidth="1"/>
    <col min="16" max="16" width="10" style="540" customWidth="1"/>
    <col min="17" max="17" width="11.8984375" style="502" customWidth="1"/>
    <col min="18" max="18" width="12" style="540" customWidth="1"/>
    <col min="19" max="19" width="36.19921875" style="502" customWidth="1"/>
    <col min="20" max="22" width="12.19921875" style="502" customWidth="1"/>
    <col min="23" max="23" width="12.19921875" style="562" customWidth="1"/>
    <col min="24" max="16384" width="12.19921875" style="502" customWidth="1"/>
  </cols>
  <sheetData>
    <row r="1" spans="1:23" ht="23.25">
      <c r="A1" s="549"/>
      <c r="B1" s="550"/>
      <c r="C1" s="490"/>
      <c r="D1" s="551"/>
      <c r="E1" s="551"/>
      <c r="F1" s="551"/>
      <c r="G1" s="551"/>
      <c r="H1" s="551"/>
      <c r="I1" s="517"/>
      <c r="J1" s="489"/>
      <c r="K1" s="517"/>
      <c r="L1" s="490"/>
      <c r="M1" s="865"/>
      <c r="N1" s="866"/>
      <c r="O1" s="866"/>
      <c r="P1" s="866"/>
      <c r="Q1" s="866"/>
      <c r="R1" s="866"/>
      <c r="S1" s="502">
        <v>16</v>
      </c>
      <c r="W1" s="552"/>
    </row>
    <row r="2" spans="1:23" s="634" customFormat="1" ht="22.5">
      <c r="A2" s="867" t="s">
        <v>181</v>
      </c>
      <c r="B2" s="867"/>
      <c r="C2" s="867"/>
      <c r="D2" s="867"/>
      <c r="E2" s="867"/>
      <c r="F2" s="867"/>
      <c r="G2" s="867"/>
      <c r="H2" s="867"/>
      <c r="I2" s="867"/>
      <c r="J2" s="867"/>
      <c r="K2" s="867"/>
      <c r="L2" s="867"/>
      <c r="M2" s="867"/>
      <c r="N2" s="867"/>
      <c r="O2" s="867"/>
      <c r="P2" s="867"/>
      <c r="Q2" s="867"/>
      <c r="R2" s="867"/>
      <c r="W2" s="635"/>
    </row>
    <row r="3" spans="1:23" s="544" customFormat="1" ht="20.25">
      <c r="A3" s="553"/>
      <c r="B3" s="554"/>
      <c r="C3" s="492"/>
      <c r="D3" s="491"/>
      <c r="E3" s="491"/>
      <c r="F3" s="491"/>
      <c r="G3" s="491"/>
      <c r="H3" s="491"/>
      <c r="I3" s="518"/>
      <c r="J3" s="491"/>
      <c r="K3" s="518"/>
      <c r="L3" s="492"/>
      <c r="M3" s="868"/>
      <c r="N3" s="868"/>
      <c r="O3" s="868"/>
      <c r="P3" s="868"/>
      <c r="Q3" s="868"/>
      <c r="R3" s="868"/>
      <c r="W3" s="545"/>
    </row>
    <row r="4" spans="1:23" s="556" customFormat="1" ht="18.75" customHeight="1">
      <c r="A4" s="869" t="s">
        <v>61</v>
      </c>
      <c r="B4" s="861">
        <v>2017</v>
      </c>
      <c r="C4" s="862"/>
      <c r="D4" s="862"/>
      <c r="E4" s="862"/>
      <c r="F4" s="863"/>
      <c r="G4" s="861">
        <v>2018</v>
      </c>
      <c r="H4" s="862"/>
      <c r="I4" s="862"/>
      <c r="J4" s="862"/>
      <c r="K4" s="862"/>
      <c r="L4" s="862"/>
      <c r="M4" s="862"/>
      <c r="N4" s="862"/>
      <c r="O4" s="528"/>
      <c r="P4" s="528"/>
      <c r="Q4" s="528"/>
      <c r="R4" s="541"/>
      <c r="S4" s="555"/>
      <c r="W4" s="557"/>
    </row>
    <row r="5" spans="1:23" s="481" customFormat="1" ht="162.75" customHeight="1">
      <c r="A5" s="870"/>
      <c r="B5" s="558" t="s">
        <v>119</v>
      </c>
      <c r="C5" s="494" t="s">
        <v>120</v>
      </c>
      <c r="D5" s="558" t="s">
        <v>178</v>
      </c>
      <c r="E5" s="495" t="s">
        <v>179</v>
      </c>
      <c r="F5" s="559" t="s">
        <v>180</v>
      </c>
      <c r="G5" s="493" t="s">
        <v>330</v>
      </c>
      <c r="H5" s="493" t="s">
        <v>313</v>
      </c>
      <c r="I5" s="519" t="s">
        <v>141</v>
      </c>
      <c r="J5" s="493" t="s">
        <v>314</v>
      </c>
      <c r="K5" s="519" t="s">
        <v>62</v>
      </c>
      <c r="L5" s="494" t="s">
        <v>63</v>
      </c>
      <c r="M5" s="495" t="s">
        <v>316</v>
      </c>
      <c r="N5" s="495" t="s">
        <v>138</v>
      </c>
      <c r="O5" s="495" t="s">
        <v>139</v>
      </c>
      <c r="P5" s="495" t="s">
        <v>64</v>
      </c>
      <c r="Q5" s="495" t="s">
        <v>140</v>
      </c>
      <c r="R5" s="495" t="s">
        <v>267</v>
      </c>
      <c r="S5" s="560" t="s">
        <v>303</v>
      </c>
      <c r="T5" s="561"/>
      <c r="W5" s="482"/>
    </row>
    <row r="6" spans="1:23" s="481" customFormat="1" ht="15.75">
      <c r="A6" s="475">
        <v>1</v>
      </c>
      <c r="B6" s="474">
        <v>2</v>
      </c>
      <c r="C6" s="474">
        <v>3</v>
      </c>
      <c r="D6" s="474">
        <v>4</v>
      </c>
      <c r="E6" s="476">
        <v>5</v>
      </c>
      <c r="F6" s="476">
        <v>6</v>
      </c>
      <c r="G6" s="477">
        <v>7</v>
      </c>
      <c r="H6" s="477">
        <v>8</v>
      </c>
      <c r="I6" s="520">
        <v>9</v>
      </c>
      <c r="J6" s="477">
        <v>9</v>
      </c>
      <c r="K6" s="521">
        <v>11</v>
      </c>
      <c r="L6" s="477">
        <v>10</v>
      </c>
      <c r="M6" s="477">
        <v>11</v>
      </c>
      <c r="N6" s="478">
        <v>12</v>
      </c>
      <c r="O6" s="477">
        <v>13</v>
      </c>
      <c r="P6" s="474">
        <v>14</v>
      </c>
      <c r="Q6" s="474">
        <v>15</v>
      </c>
      <c r="R6" s="474">
        <v>16</v>
      </c>
      <c r="S6" s="479" t="s">
        <v>305</v>
      </c>
      <c r="T6" s="480">
        <f>11/12</f>
        <v>0.9166666666666666</v>
      </c>
      <c r="W6" s="482"/>
    </row>
    <row r="7" spans="1:20" ht="15.75">
      <c r="A7" s="858" t="s">
        <v>65</v>
      </c>
      <c r="B7" s="859"/>
      <c r="C7" s="859"/>
      <c r="D7" s="859"/>
      <c r="E7" s="859"/>
      <c r="F7" s="859"/>
      <c r="G7" s="859"/>
      <c r="H7" s="859"/>
      <c r="I7" s="859"/>
      <c r="J7" s="859"/>
      <c r="K7" s="859"/>
      <c r="L7" s="859"/>
      <c r="M7" s="859"/>
      <c r="N7" s="859"/>
      <c r="O7" s="859"/>
      <c r="P7" s="859"/>
      <c r="Q7" s="859"/>
      <c r="R7" s="860"/>
      <c r="S7" s="479" t="s">
        <v>306</v>
      </c>
      <c r="T7" s="480">
        <f>10/12</f>
        <v>0.8333333333333334</v>
      </c>
    </row>
    <row r="8" spans="1:23" s="566" customFormat="1" ht="18.75">
      <c r="A8" s="563" t="s">
        <v>66</v>
      </c>
      <c r="B8" s="564">
        <v>10000000</v>
      </c>
      <c r="C8" s="484">
        <f>C9+C13+C23+C19</f>
        <v>1295006.7</v>
      </c>
      <c r="D8" s="484">
        <f>D9+D13+D23+D19</f>
        <v>1295006.7999999998</v>
      </c>
      <c r="E8" s="484">
        <f>L8-D8</f>
        <v>253569.1000000001</v>
      </c>
      <c r="F8" s="484">
        <f aca="true" t="shared" si="0" ref="F8:F74">L8/D8*100</f>
        <v>119.58052266598138</v>
      </c>
      <c r="G8" s="484">
        <f aca="true" t="shared" si="1" ref="G8:M8">G9+G13+G23+G19</f>
        <v>1576754.3</v>
      </c>
      <c r="H8" s="484">
        <f t="shared" si="1"/>
        <v>1445358.2</v>
      </c>
      <c r="I8" s="486">
        <f t="shared" si="1"/>
        <v>1445358.2</v>
      </c>
      <c r="J8" s="484">
        <f t="shared" si="1"/>
        <v>1576754.2999999998</v>
      </c>
      <c r="K8" s="486">
        <f t="shared" si="1"/>
        <v>1576754.2999999998</v>
      </c>
      <c r="L8" s="484">
        <f t="shared" si="1"/>
        <v>1548575.9</v>
      </c>
      <c r="M8" s="484" t="e">
        <f t="shared" si="1"/>
        <v>#REF!</v>
      </c>
      <c r="N8" s="484">
        <f aca="true" t="shared" si="2" ref="N8:N44">L8/G8*100</f>
        <v>98.2128857996455</v>
      </c>
      <c r="O8" s="484">
        <f aca="true" t="shared" si="3" ref="O8:O14">L8/I8*100</f>
        <v>107.14132316819456</v>
      </c>
      <c r="P8" s="484">
        <f aca="true" t="shared" si="4" ref="P8:P14">L8/K8*100</f>
        <v>98.21288579964552</v>
      </c>
      <c r="Q8" s="484">
        <f aca="true" t="shared" si="5" ref="Q8:Q74">L8-I8</f>
        <v>103217.69999999995</v>
      </c>
      <c r="R8" s="484">
        <f aca="true" t="shared" si="6" ref="R8:R74">L8-K8</f>
        <v>-28178.399999999907</v>
      </c>
      <c r="S8" s="479" t="s">
        <v>3</v>
      </c>
      <c r="T8" s="480">
        <f>22/264</f>
        <v>0.08333333333333333</v>
      </c>
      <c r="U8" s="461">
        <f aca="true" t="shared" si="7" ref="U8:U19">L8/G8*100-N8</f>
        <v>0</v>
      </c>
      <c r="V8" s="461">
        <f aca="true" t="shared" si="8" ref="V8:V19">L8/I8*100-O8</f>
        <v>0</v>
      </c>
      <c r="W8" s="565">
        <f>L8/K8*100-P8</f>
        <v>0</v>
      </c>
    </row>
    <row r="9" spans="1:24" s="566" customFormat="1" ht="31.5">
      <c r="A9" s="563" t="s">
        <v>67</v>
      </c>
      <c r="B9" s="564">
        <v>11000000</v>
      </c>
      <c r="C9" s="484">
        <f>C10+C11</f>
        <v>844789.9</v>
      </c>
      <c r="D9" s="484">
        <f>D10+D11</f>
        <v>844789.9</v>
      </c>
      <c r="E9" s="484">
        <f>L9-D9</f>
        <v>198598.69999999995</v>
      </c>
      <c r="F9" s="484">
        <f t="shared" si="0"/>
        <v>123.50864990218278</v>
      </c>
      <c r="G9" s="484">
        <f aca="true" t="shared" si="9" ref="G9:M9">G10+G11</f>
        <v>1075006.7999999998</v>
      </c>
      <c r="H9" s="484">
        <f t="shared" si="9"/>
        <v>985422.8999999999</v>
      </c>
      <c r="I9" s="486">
        <f t="shared" si="9"/>
        <v>985422.8999999999</v>
      </c>
      <c r="J9" s="484">
        <f t="shared" si="9"/>
        <v>1075006.7999999998</v>
      </c>
      <c r="K9" s="486">
        <f t="shared" si="9"/>
        <v>1075006.7999999998</v>
      </c>
      <c r="L9" s="484">
        <f t="shared" si="9"/>
        <v>1043388.6</v>
      </c>
      <c r="M9" s="484" t="e">
        <f t="shared" si="9"/>
        <v>#REF!</v>
      </c>
      <c r="N9" s="484">
        <f t="shared" si="2"/>
        <v>97.05879069788212</v>
      </c>
      <c r="O9" s="484">
        <f t="shared" si="3"/>
        <v>105.8823171249623</v>
      </c>
      <c r="P9" s="484">
        <f t="shared" si="4"/>
        <v>97.05879069788212</v>
      </c>
      <c r="Q9" s="484">
        <f t="shared" si="5"/>
        <v>57965.70000000007</v>
      </c>
      <c r="R9" s="484">
        <f t="shared" si="6"/>
        <v>-31618.199999999837</v>
      </c>
      <c r="S9" s="460">
        <f>L9-I9-Q9</f>
        <v>0</v>
      </c>
      <c r="T9" s="567">
        <f>G9*6/12+G9*18/(21*12)</f>
        <v>614289.5999999999</v>
      </c>
      <c r="U9" s="461">
        <f t="shared" si="7"/>
        <v>0</v>
      </c>
      <c r="V9" s="461">
        <f t="shared" si="8"/>
        <v>0</v>
      </c>
      <c r="W9" s="462">
        <f aca="true" t="shared" si="10" ref="W9:W64">H9-I9</f>
        <v>0</v>
      </c>
      <c r="X9" s="461">
        <f aca="true" t="shared" si="11" ref="X9:X64">J9-K9</f>
        <v>0</v>
      </c>
    </row>
    <row r="10" spans="1:24" s="568" customFormat="1" ht="20.25">
      <c r="A10" s="464" t="s">
        <v>153</v>
      </c>
      <c r="B10" s="458">
        <v>11010000</v>
      </c>
      <c r="C10" s="456">
        <v>844399</v>
      </c>
      <c r="D10" s="456">
        <v>844399</v>
      </c>
      <c r="E10" s="459">
        <f>L10-D10</f>
        <v>198763.19999999995</v>
      </c>
      <c r="F10" s="459">
        <f t="shared" si="0"/>
        <v>123.53901413905038</v>
      </c>
      <c r="G10" s="456">
        <f>1015300+18717.7+40710.7</f>
        <v>1074728.4</v>
      </c>
      <c r="H10" s="456">
        <f>ROUND(G10*$T$6,1)</f>
        <v>985167.7</v>
      </c>
      <c r="I10" s="524">
        <f>ROUND((G10*$T$7+G10*$T$8),1)</f>
        <v>985167.7</v>
      </c>
      <c r="J10" s="456">
        <v>1074728.4</v>
      </c>
      <c r="K10" s="522">
        <v>1074728.4</v>
      </c>
      <c r="L10" s="456">
        <v>1043162.2</v>
      </c>
      <c r="M10" s="456" t="e">
        <f>L10-#REF!</f>
        <v>#REF!</v>
      </c>
      <c r="N10" s="459">
        <f t="shared" si="2"/>
        <v>97.06286723231656</v>
      </c>
      <c r="O10" s="459">
        <f t="shared" si="3"/>
        <v>105.88676425343624</v>
      </c>
      <c r="P10" s="459">
        <f t="shared" si="4"/>
        <v>97.06286723231656</v>
      </c>
      <c r="Q10" s="459">
        <f t="shared" si="5"/>
        <v>57994.5</v>
      </c>
      <c r="R10" s="459">
        <f t="shared" si="6"/>
        <v>-31566.199999999953</v>
      </c>
      <c r="S10" s="460">
        <f>L10/$L$62*100</f>
        <v>64.57604463832267</v>
      </c>
      <c r="T10" s="567">
        <f>G10*6/12+G10*18/(21*12)</f>
        <v>614130.5142857142</v>
      </c>
      <c r="U10" s="461">
        <f t="shared" si="7"/>
        <v>0</v>
      </c>
      <c r="V10" s="461">
        <f t="shared" si="8"/>
        <v>0</v>
      </c>
      <c r="W10" s="462">
        <f t="shared" si="10"/>
        <v>0</v>
      </c>
      <c r="X10" s="461">
        <f t="shared" si="11"/>
        <v>0</v>
      </c>
    </row>
    <row r="11" spans="1:24" s="463" customFormat="1" ht="20.25">
      <c r="A11" s="464" t="s">
        <v>293</v>
      </c>
      <c r="B11" s="458">
        <v>11020000</v>
      </c>
      <c r="C11" s="456">
        <f>C12</f>
        <v>390.9</v>
      </c>
      <c r="D11" s="456">
        <f>D12</f>
        <v>390.9</v>
      </c>
      <c r="E11" s="459">
        <f>E12</f>
        <v>-164.49999999999997</v>
      </c>
      <c r="F11" s="459">
        <f t="shared" si="0"/>
        <v>57.917625991302124</v>
      </c>
      <c r="G11" s="456">
        <f aca="true" t="shared" si="12" ref="G11:M11">G12</f>
        <v>278.4</v>
      </c>
      <c r="H11" s="456">
        <f t="shared" si="12"/>
        <v>255.2</v>
      </c>
      <c r="I11" s="522">
        <f t="shared" si="12"/>
        <v>255.2</v>
      </c>
      <c r="J11" s="456">
        <f t="shared" si="12"/>
        <v>278.4</v>
      </c>
      <c r="K11" s="522">
        <f t="shared" si="12"/>
        <v>278.4</v>
      </c>
      <c r="L11" s="456">
        <f t="shared" si="12"/>
        <v>226.4</v>
      </c>
      <c r="M11" s="456" t="e">
        <f t="shared" si="12"/>
        <v>#REF!</v>
      </c>
      <c r="N11" s="456">
        <f t="shared" si="2"/>
        <v>81.32183908045978</v>
      </c>
      <c r="O11" s="459">
        <f t="shared" si="3"/>
        <v>88.71473354231976</v>
      </c>
      <c r="P11" s="456">
        <f t="shared" si="4"/>
        <v>81.32183908045978</v>
      </c>
      <c r="Q11" s="459">
        <f t="shared" si="5"/>
        <v>-28.799999999999983</v>
      </c>
      <c r="R11" s="459">
        <f t="shared" si="6"/>
        <v>-51.99999999999997</v>
      </c>
      <c r="S11" s="460">
        <f>L11/$L$62*100</f>
        <v>0.014015094206937573</v>
      </c>
      <c r="T11" s="567">
        <f>G11*6/12+G11*18/(21*12)</f>
        <v>159.0857142857143</v>
      </c>
      <c r="U11" s="461">
        <f t="shared" si="7"/>
        <v>0</v>
      </c>
      <c r="V11" s="461">
        <f t="shared" si="8"/>
        <v>0</v>
      </c>
      <c r="W11" s="462">
        <f t="shared" si="10"/>
        <v>0</v>
      </c>
      <c r="X11" s="461">
        <f t="shared" si="11"/>
        <v>0</v>
      </c>
    </row>
    <row r="12" spans="1:24" s="571" customFormat="1" ht="31.5">
      <c r="A12" s="569" t="s">
        <v>69</v>
      </c>
      <c r="B12" s="570">
        <v>11020201</v>
      </c>
      <c r="C12" s="472">
        <v>390.9</v>
      </c>
      <c r="D12" s="472">
        <v>390.9</v>
      </c>
      <c r="E12" s="459">
        <f aca="true" t="shared" si="13" ref="E12:E82">L12-D12</f>
        <v>-164.49999999999997</v>
      </c>
      <c r="F12" s="459">
        <f t="shared" si="0"/>
        <v>57.917625991302124</v>
      </c>
      <c r="G12" s="472">
        <v>278.4</v>
      </c>
      <c r="H12" s="456">
        <f>ROUND(G12*$T$6,1)</f>
        <v>255.2</v>
      </c>
      <c r="I12" s="522">
        <f>ROUND((G12*$T$7+G12*$T$8),1)</f>
        <v>255.2</v>
      </c>
      <c r="J12" s="472">
        <v>278.4</v>
      </c>
      <c r="K12" s="523">
        <v>278.4</v>
      </c>
      <c r="L12" s="472">
        <v>226.4</v>
      </c>
      <c r="M12" s="456" t="e">
        <f>L12-#REF!</f>
        <v>#REF!</v>
      </c>
      <c r="N12" s="529">
        <f t="shared" si="2"/>
        <v>81.32183908045978</v>
      </c>
      <c r="O12" s="459">
        <f t="shared" si="3"/>
        <v>88.71473354231976</v>
      </c>
      <c r="P12" s="529">
        <f t="shared" si="4"/>
        <v>81.32183908045978</v>
      </c>
      <c r="Q12" s="459">
        <f t="shared" si="5"/>
        <v>-28.799999999999983</v>
      </c>
      <c r="R12" s="459">
        <f t="shared" si="6"/>
        <v>-51.99999999999997</v>
      </c>
      <c r="S12" s="460">
        <f>L12/$L$62*100</f>
        <v>0.014015094206937573</v>
      </c>
      <c r="T12" s="567">
        <f>G12*6/12+G12*18/(21*12)</f>
        <v>159.0857142857143</v>
      </c>
      <c r="U12" s="461">
        <f t="shared" si="7"/>
        <v>0</v>
      </c>
      <c r="V12" s="461">
        <f t="shared" si="8"/>
        <v>0</v>
      </c>
      <c r="W12" s="462">
        <f t="shared" si="10"/>
        <v>0</v>
      </c>
      <c r="X12" s="461">
        <f t="shared" si="11"/>
        <v>0</v>
      </c>
    </row>
    <row r="13" spans="1:24" s="574" customFormat="1" ht="31.5">
      <c r="A13" s="572" t="s">
        <v>123</v>
      </c>
      <c r="B13" s="573">
        <v>13000000</v>
      </c>
      <c r="C13" s="483">
        <f>C14+C18+C15</f>
        <v>125.5</v>
      </c>
      <c r="D13" s="483">
        <f>D14+D18+D15</f>
        <v>125.5</v>
      </c>
      <c r="E13" s="484">
        <f t="shared" si="13"/>
        <v>63.099999999999994</v>
      </c>
      <c r="F13" s="484">
        <f>L13/D13*100</f>
        <v>150.27888446215138</v>
      </c>
      <c r="G13" s="483">
        <f aca="true" t="shared" si="14" ref="G13:M13">G14+G18+G15</f>
        <v>76.6</v>
      </c>
      <c r="H13" s="483">
        <f t="shared" si="14"/>
        <v>70.2</v>
      </c>
      <c r="I13" s="473">
        <f t="shared" si="14"/>
        <v>70.2</v>
      </c>
      <c r="J13" s="483">
        <f t="shared" si="14"/>
        <v>76.6</v>
      </c>
      <c r="K13" s="473">
        <f t="shared" si="14"/>
        <v>76.6</v>
      </c>
      <c r="L13" s="483">
        <f t="shared" si="14"/>
        <v>188.6</v>
      </c>
      <c r="M13" s="483" t="e">
        <f t="shared" si="14"/>
        <v>#REF!</v>
      </c>
      <c r="N13" s="483">
        <f t="shared" si="2"/>
        <v>246.2140992167102</v>
      </c>
      <c r="O13" s="484">
        <f t="shared" si="3"/>
        <v>268.66096866096865</v>
      </c>
      <c r="P13" s="483">
        <f t="shared" si="4"/>
        <v>246.2140992167102</v>
      </c>
      <c r="Q13" s="484">
        <f t="shared" si="5"/>
        <v>118.39999999999999</v>
      </c>
      <c r="R13" s="484">
        <f t="shared" si="6"/>
        <v>112</v>
      </c>
      <c r="S13" s="460">
        <f>L13/$L$62*100</f>
        <v>0.011675118230690928</v>
      </c>
      <c r="T13" s="461">
        <f>L13-K13-R13</f>
        <v>0</v>
      </c>
      <c r="U13" s="461">
        <f t="shared" si="7"/>
        <v>0</v>
      </c>
      <c r="V13" s="461">
        <f t="shared" si="8"/>
        <v>0</v>
      </c>
      <c r="W13" s="462">
        <f t="shared" si="10"/>
        <v>0</v>
      </c>
      <c r="X13" s="461">
        <f t="shared" si="11"/>
        <v>0</v>
      </c>
    </row>
    <row r="14" spans="1:24" s="576" customFormat="1" ht="78.75">
      <c r="A14" s="575" t="s">
        <v>124</v>
      </c>
      <c r="B14" s="458">
        <v>13010200</v>
      </c>
      <c r="C14" s="456">
        <v>92.7</v>
      </c>
      <c r="D14" s="456">
        <v>92.7</v>
      </c>
      <c r="E14" s="459">
        <f t="shared" si="13"/>
        <v>71.7</v>
      </c>
      <c r="F14" s="459">
        <f t="shared" si="0"/>
        <v>177.3462783171521</v>
      </c>
      <c r="G14" s="456">
        <v>56.6</v>
      </c>
      <c r="H14" s="456">
        <f>ROUND(G14*$T$6,1)</f>
        <v>51.9</v>
      </c>
      <c r="I14" s="524">
        <f>ROUND((G14*$T$7+G14*$T$8),1)</f>
        <v>51.9</v>
      </c>
      <c r="J14" s="456">
        <v>56.6</v>
      </c>
      <c r="K14" s="522">
        <v>56.6</v>
      </c>
      <c r="L14" s="456">
        <v>164.4</v>
      </c>
      <c r="M14" s="456" t="e">
        <f>L14-#REF!</f>
        <v>#REF!</v>
      </c>
      <c r="N14" s="456">
        <f t="shared" si="2"/>
        <v>290.4593639575972</v>
      </c>
      <c r="O14" s="456">
        <f t="shared" si="3"/>
        <v>316.7630057803469</v>
      </c>
      <c r="P14" s="456">
        <f t="shared" si="4"/>
        <v>290.4593639575972</v>
      </c>
      <c r="Q14" s="459">
        <f t="shared" si="5"/>
        <v>112.5</v>
      </c>
      <c r="R14" s="459">
        <f t="shared" si="6"/>
        <v>107.80000000000001</v>
      </c>
      <c r="S14" s="460">
        <f>L14/$L$62*100</f>
        <v>0.010177038372882231</v>
      </c>
      <c r="T14" s="461">
        <f>L14-K14-R14</f>
        <v>0</v>
      </c>
      <c r="U14" s="461">
        <f t="shared" si="7"/>
        <v>0</v>
      </c>
      <c r="V14" s="461">
        <f t="shared" si="8"/>
        <v>0</v>
      </c>
      <c r="W14" s="462">
        <f t="shared" si="10"/>
        <v>0</v>
      </c>
      <c r="X14" s="461">
        <f t="shared" si="11"/>
        <v>0</v>
      </c>
    </row>
    <row r="15" spans="1:24" s="568" customFormat="1" ht="20.25">
      <c r="A15" s="575" t="s">
        <v>1</v>
      </c>
      <c r="B15" s="458">
        <v>13020000</v>
      </c>
      <c r="C15" s="456"/>
      <c r="D15" s="456">
        <f>D16</f>
        <v>0</v>
      </c>
      <c r="E15" s="459">
        <f>L15-D15</f>
        <v>0</v>
      </c>
      <c r="F15" s="465" t="e">
        <f>L15/D15*100</f>
        <v>#DIV/0!</v>
      </c>
      <c r="G15" s="456"/>
      <c r="H15" s="456"/>
      <c r="I15" s="524"/>
      <c r="J15" s="456"/>
      <c r="K15" s="522"/>
      <c r="L15" s="456">
        <f>L16</f>
        <v>0</v>
      </c>
      <c r="M15" s="456" t="e">
        <f>L15-#REF!</f>
        <v>#REF!</v>
      </c>
      <c r="N15" s="456"/>
      <c r="O15" s="456"/>
      <c r="P15" s="456"/>
      <c r="Q15" s="459">
        <f>L15-I15</f>
        <v>0</v>
      </c>
      <c r="R15" s="459">
        <f>L15-K15</f>
        <v>0</v>
      </c>
      <c r="S15" s="469"/>
      <c r="T15" s="470"/>
      <c r="U15" s="470"/>
      <c r="V15" s="470"/>
      <c r="W15" s="471"/>
      <c r="X15" s="470"/>
    </row>
    <row r="16" spans="1:24" s="576" customFormat="1" ht="31.5">
      <c r="A16" s="575" t="s">
        <v>2</v>
      </c>
      <c r="B16" s="458">
        <v>13020200</v>
      </c>
      <c r="C16" s="456"/>
      <c r="D16" s="456"/>
      <c r="E16" s="459">
        <f>L16-D16</f>
        <v>0</v>
      </c>
      <c r="F16" s="465" t="e">
        <f>L16/D16*100</f>
        <v>#DIV/0!</v>
      </c>
      <c r="G16" s="456"/>
      <c r="H16" s="456"/>
      <c r="I16" s="524"/>
      <c r="J16" s="456"/>
      <c r="K16" s="522"/>
      <c r="L16" s="456">
        <v>0</v>
      </c>
      <c r="M16" s="456" t="e">
        <f>L16-#REF!</f>
        <v>#REF!</v>
      </c>
      <c r="N16" s="456"/>
      <c r="O16" s="456"/>
      <c r="P16" s="456"/>
      <c r="Q16" s="459">
        <f>L16-I16</f>
        <v>0</v>
      </c>
      <c r="R16" s="459">
        <f>L16-K16</f>
        <v>0</v>
      </c>
      <c r="S16" s="460"/>
      <c r="T16" s="461"/>
      <c r="U16" s="461"/>
      <c r="V16" s="461"/>
      <c r="W16" s="462"/>
      <c r="X16" s="461"/>
    </row>
    <row r="17" spans="1:24" s="568" customFormat="1" ht="20.25">
      <c r="A17" s="577" t="s">
        <v>125</v>
      </c>
      <c r="B17" s="458">
        <v>13030000</v>
      </c>
      <c r="C17" s="456">
        <f>C18</f>
        <v>32.8</v>
      </c>
      <c r="D17" s="456">
        <f>D18</f>
        <v>32.8</v>
      </c>
      <c r="E17" s="459">
        <f t="shared" si="13"/>
        <v>-8.599999999999998</v>
      </c>
      <c r="F17" s="459">
        <f t="shared" si="0"/>
        <v>73.78048780487805</v>
      </c>
      <c r="G17" s="456">
        <f aca="true" t="shared" si="15" ref="G17:L17">G18</f>
        <v>20</v>
      </c>
      <c r="H17" s="456">
        <f t="shared" si="15"/>
        <v>18.3</v>
      </c>
      <c r="I17" s="522">
        <f t="shared" si="15"/>
        <v>18.3</v>
      </c>
      <c r="J17" s="456">
        <f t="shared" si="15"/>
        <v>20</v>
      </c>
      <c r="K17" s="522">
        <f t="shared" si="15"/>
        <v>20</v>
      </c>
      <c r="L17" s="456">
        <f t="shared" si="15"/>
        <v>24.2</v>
      </c>
      <c r="M17" s="456" t="e">
        <f>L17-#REF!</f>
        <v>#REF!</v>
      </c>
      <c r="N17" s="459">
        <f t="shared" si="2"/>
        <v>121</v>
      </c>
      <c r="O17" s="459">
        <f aca="true" t="shared" si="16" ref="O17:O83">L17/I17*100</f>
        <v>132.24043715846994</v>
      </c>
      <c r="P17" s="459">
        <f aca="true" t="shared" si="17" ref="P17:P83">L17/K17*100</f>
        <v>121</v>
      </c>
      <c r="Q17" s="459">
        <f t="shared" si="5"/>
        <v>5.899999999999999</v>
      </c>
      <c r="R17" s="459">
        <f t="shared" si="6"/>
        <v>4.199999999999999</v>
      </c>
      <c r="S17" s="460">
        <f>L17/$L$62*100</f>
        <v>0.001498079857808698</v>
      </c>
      <c r="T17" s="461">
        <f>L17-K17-R17</f>
        <v>0</v>
      </c>
      <c r="U17" s="461">
        <f t="shared" si="7"/>
        <v>0</v>
      </c>
      <c r="V17" s="461">
        <f t="shared" si="8"/>
        <v>0</v>
      </c>
      <c r="W17" s="462">
        <f t="shared" si="10"/>
        <v>0</v>
      </c>
      <c r="X17" s="461">
        <f t="shared" si="11"/>
        <v>0</v>
      </c>
    </row>
    <row r="18" spans="1:24" s="571" customFormat="1" ht="47.25">
      <c r="A18" s="569" t="s">
        <v>126</v>
      </c>
      <c r="B18" s="570">
        <v>13030200</v>
      </c>
      <c r="C18" s="472">
        <v>32.8</v>
      </c>
      <c r="D18" s="472">
        <v>32.8</v>
      </c>
      <c r="E18" s="529">
        <f t="shared" si="13"/>
        <v>-8.599999999999998</v>
      </c>
      <c r="F18" s="459">
        <f t="shared" si="0"/>
        <v>73.78048780487805</v>
      </c>
      <c r="G18" s="472">
        <v>20</v>
      </c>
      <c r="H18" s="456">
        <f>ROUND(G18*$T$6,1)</f>
        <v>18.3</v>
      </c>
      <c r="I18" s="524">
        <f>ROUND((G18*$T$7+G18*$T$8),1)</f>
        <v>18.3</v>
      </c>
      <c r="J18" s="472">
        <v>20</v>
      </c>
      <c r="K18" s="523">
        <v>20</v>
      </c>
      <c r="L18" s="472">
        <v>24.2</v>
      </c>
      <c r="M18" s="456" t="e">
        <f>L18-#REF!</f>
        <v>#REF!</v>
      </c>
      <c r="N18" s="529">
        <f t="shared" si="2"/>
        <v>121</v>
      </c>
      <c r="O18" s="529">
        <f t="shared" si="16"/>
        <v>132.24043715846994</v>
      </c>
      <c r="P18" s="529">
        <f t="shared" si="17"/>
        <v>121</v>
      </c>
      <c r="Q18" s="529">
        <f t="shared" si="5"/>
        <v>5.899999999999999</v>
      </c>
      <c r="R18" s="529">
        <f t="shared" si="6"/>
        <v>4.199999999999999</v>
      </c>
      <c r="S18" s="460">
        <f>L18/$L$62*100</f>
        <v>0.001498079857808698</v>
      </c>
      <c r="T18" s="461">
        <f>L18-K18-R18</f>
        <v>0</v>
      </c>
      <c r="U18" s="461">
        <f t="shared" si="7"/>
        <v>0</v>
      </c>
      <c r="V18" s="461">
        <f t="shared" si="8"/>
        <v>0</v>
      </c>
      <c r="W18" s="462">
        <f t="shared" si="10"/>
        <v>0</v>
      </c>
      <c r="X18" s="461">
        <f t="shared" si="11"/>
        <v>0</v>
      </c>
    </row>
    <row r="19" spans="1:24" s="574" customFormat="1" ht="20.25">
      <c r="A19" s="578" t="s">
        <v>130</v>
      </c>
      <c r="B19" s="573">
        <v>14000000</v>
      </c>
      <c r="C19" s="483">
        <f>C22+C20+C21</f>
        <v>126731.30000000002</v>
      </c>
      <c r="D19" s="483">
        <f>D22+D20+D21</f>
        <v>126731.40000000001</v>
      </c>
      <c r="E19" s="484">
        <f t="shared" si="13"/>
        <v>11110.599999999991</v>
      </c>
      <c r="F19" s="484">
        <f t="shared" si="0"/>
        <v>108.76704589391422</v>
      </c>
      <c r="G19" s="483">
        <f aca="true" t="shared" si="18" ref="G19:M19">G22+G20+G21</f>
        <v>145802.80000000002</v>
      </c>
      <c r="H19" s="483">
        <f t="shared" si="18"/>
        <v>133652.7</v>
      </c>
      <c r="I19" s="473">
        <f t="shared" si="18"/>
        <v>133652.7</v>
      </c>
      <c r="J19" s="483">
        <f t="shared" si="18"/>
        <v>145802.8</v>
      </c>
      <c r="K19" s="473">
        <f t="shared" si="18"/>
        <v>145802.8</v>
      </c>
      <c r="L19" s="483">
        <f t="shared" si="18"/>
        <v>137842</v>
      </c>
      <c r="M19" s="483" t="e">
        <f t="shared" si="18"/>
        <v>#REF!</v>
      </c>
      <c r="N19" s="484">
        <f t="shared" si="2"/>
        <v>94.54002255100724</v>
      </c>
      <c r="O19" s="484">
        <f t="shared" si="16"/>
        <v>103.134467167517</v>
      </c>
      <c r="P19" s="484">
        <f t="shared" si="17"/>
        <v>94.54002255100727</v>
      </c>
      <c r="Q19" s="484">
        <f t="shared" si="5"/>
        <v>4189.299999999988</v>
      </c>
      <c r="R19" s="484">
        <f t="shared" si="6"/>
        <v>-7960.799999999988</v>
      </c>
      <c r="S19" s="460">
        <f>L19/$L$62*100</f>
        <v>8.532988585126718</v>
      </c>
      <c r="T19" s="461">
        <f>L19-K19-R19</f>
        <v>0</v>
      </c>
      <c r="U19" s="461">
        <f t="shared" si="7"/>
        <v>0</v>
      </c>
      <c r="V19" s="461">
        <f t="shared" si="8"/>
        <v>0</v>
      </c>
      <c r="W19" s="462">
        <f t="shared" si="10"/>
        <v>0</v>
      </c>
      <c r="X19" s="461">
        <f t="shared" si="11"/>
        <v>0</v>
      </c>
    </row>
    <row r="20" spans="1:24" s="463" customFormat="1" ht="31.5">
      <c r="A20" s="464" t="s">
        <v>288</v>
      </c>
      <c r="B20" s="458">
        <v>14021900</v>
      </c>
      <c r="C20" s="456">
        <v>11281.3</v>
      </c>
      <c r="D20" s="456">
        <v>11281.3</v>
      </c>
      <c r="E20" s="459">
        <f>L20-D20</f>
        <v>1063.1000000000004</v>
      </c>
      <c r="F20" s="459">
        <f>L20/D20*100</f>
        <v>109.42355934156525</v>
      </c>
      <c r="G20" s="456">
        <f>11200+753.6</f>
        <v>11953.6</v>
      </c>
      <c r="H20" s="456">
        <f>ROUND(G20*$T$6,1)</f>
        <v>10957.5</v>
      </c>
      <c r="I20" s="524">
        <f>ROUND((G20*$T$7+G20*$T$8),1)</f>
        <v>10957.5</v>
      </c>
      <c r="J20" s="456">
        <v>12384.4</v>
      </c>
      <c r="K20" s="522">
        <v>12384.4</v>
      </c>
      <c r="L20" s="456">
        <v>12344.4</v>
      </c>
      <c r="M20" s="456" t="e">
        <f>L20-#REF!</f>
        <v>#REF!</v>
      </c>
      <c r="N20" s="459">
        <f t="shared" si="2"/>
        <v>103.26930799089813</v>
      </c>
      <c r="O20" s="459">
        <f t="shared" si="16"/>
        <v>112.6570841889117</v>
      </c>
      <c r="P20" s="459">
        <f t="shared" si="17"/>
        <v>99.67701301637544</v>
      </c>
      <c r="Q20" s="459">
        <f t="shared" si="5"/>
        <v>1386.8999999999996</v>
      </c>
      <c r="R20" s="459">
        <f t="shared" si="6"/>
        <v>-40</v>
      </c>
      <c r="S20" s="469"/>
      <c r="T20" s="470"/>
      <c r="U20" s="470"/>
      <c r="V20" s="470"/>
      <c r="W20" s="462">
        <f t="shared" si="10"/>
        <v>0</v>
      </c>
      <c r="X20" s="461">
        <f t="shared" si="11"/>
        <v>0</v>
      </c>
    </row>
    <row r="21" spans="1:24" s="463" customFormat="1" ht="31.5">
      <c r="A21" s="464" t="s">
        <v>289</v>
      </c>
      <c r="B21" s="458">
        <v>14031900</v>
      </c>
      <c r="C21" s="456">
        <v>43686.4</v>
      </c>
      <c r="D21" s="456">
        <v>43686.5</v>
      </c>
      <c r="E21" s="459">
        <f>L21-D21</f>
        <v>7076.0999999999985</v>
      </c>
      <c r="F21" s="459">
        <f>L21/D21*100</f>
        <v>116.19745230219863</v>
      </c>
      <c r="G21" s="456">
        <f>44320+1932.3+2900</f>
        <v>49152.3</v>
      </c>
      <c r="H21" s="456">
        <f>ROUND(G21*$T$6,1)+0.1</f>
        <v>45056.4</v>
      </c>
      <c r="I21" s="524">
        <f>ROUND((G21*$T$7+G21*$T$8),1)+0.1</f>
        <v>45056.4</v>
      </c>
      <c r="J21" s="456">
        <v>50671.2</v>
      </c>
      <c r="K21" s="522">
        <v>50671.2</v>
      </c>
      <c r="L21" s="456">
        <v>50762.6</v>
      </c>
      <c r="M21" s="456" t="e">
        <f>L21-#REF!</f>
        <v>#REF!</v>
      </c>
      <c r="N21" s="459">
        <f t="shared" si="2"/>
        <v>103.27614374098464</v>
      </c>
      <c r="O21" s="459">
        <f t="shared" si="16"/>
        <v>112.66457151481252</v>
      </c>
      <c r="P21" s="459">
        <f t="shared" si="17"/>
        <v>100.18037859770442</v>
      </c>
      <c r="Q21" s="459">
        <f t="shared" si="5"/>
        <v>5706.199999999997</v>
      </c>
      <c r="R21" s="459">
        <f t="shared" si="6"/>
        <v>91.40000000000146</v>
      </c>
      <c r="S21" s="469"/>
      <c r="T21" s="470"/>
      <c r="U21" s="470"/>
      <c r="V21" s="470"/>
      <c r="W21" s="462">
        <f t="shared" si="10"/>
        <v>0</v>
      </c>
      <c r="X21" s="461">
        <f t="shared" si="11"/>
        <v>0</v>
      </c>
    </row>
    <row r="22" spans="1:24" s="568" customFormat="1" ht="47.25">
      <c r="A22" s="577" t="s">
        <v>131</v>
      </c>
      <c r="B22" s="458">
        <v>14040000</v>
      </c>
      <c r="C22" s="456">
        <v>71763.6</v>
      </c>
      <c r="D22" s="456">
        <v>71763.6</v>
      </c>
      <c r="E22" s="459">
        <f t="shared" si="13"/>
        <v>2971.399999999994</v>
      </c>
      <c r="F22" s="459">
        <f t="shared" si="0"/>
        <v>104.14053921486659</v>
      </c>
      <c r="G22" s="456">
        <f>90282.8-2685.9-2900</f>
        <v>84696.90000000001</v>
      </c>
      <c r="H22" s="456">
        <f>ROUND(G22*$T$6,1)</f>
        <v>77638.8</v>
      </c>
      <c r="I22" s="524">
        <f>ROUND((G22*$T$7+G22*$T$8),1)</f>
        <v>77638.8</v>
      </c>
      <c r="J22" s="456">
        <v>82747.2</v>
      </c>
      <c r="K22" s="522">
        <v>82747.2</v>
      </c>
      <c r="L22" s="456">
        <v>74735</v>
      </c>
      <c r="M22" s="456" t="e">
        <f>L22-#REF!</f>
        <v>#REF!</v>
      </c>
      <c r="N22" s="459">
        <f t="shared" si="2"/>
        <v>88.23817636773009</v>
      </c>
      <c r="O22" s="459">
        <f t="shared" si="16"/>
        <v>96.25985976084122</v>
      </c>
      <c r="P22" s="459">
        <f t="shared" si="17"/>
        <v>90.31725544791848</v>
      </c>
      <c r="Q22" s="459">
        <f t="shared" si="5"/>
        <v>-2903.800000000003</v>
      </c>
      <c r="R22" s="459">
        <f t="shared" si="6"/>
        <v>-8012.199999999997</v>
      </c>
      <c r="S22" s="460">
        <f aca="true" t="shared" si="19" ref="S22:S37">L22/$L$62*100</f>
        <v>4.6264048831955815</v>
      </c>
      <c r="T22" s="461">
        <f aca="true" t="shared" si="20" ref="T22:T33">L22-K22-R22</f>
        <v>0</v>
      </c>
      <c r="U22" s="461">
        <f aca="true" t="shared" si="21" ref="U22:U64">L22/G22*100-N22</f>
        <v>0</v>
      </c>
      <c r="V22" s="461">
        <f aca="true" t="shared" si="22" ref="V22:V64">L22/I22*100-O22</f>
        <v>0</v>
      </c>
      <c r="W22" s="462">
        <f t="shared" si="10"/>
        <v>0</v>
      </c>
      <c r="X22" s="461">
        <f t="shared" si="11"/>
        <v>0</v>
      </c>
    </row>
    <row r="23" spans="1:24" s="574" customFormat="1" ht="17.25" customHeight="1">
      <c r="A23" s="579" t="s">
        <v>127</v>
      </c>
      <c r="B23" s="573">
        <v>18000000</v>
      </c>
      <c r="C23" s="483">
        <f>SUM(C24:C30)-C24</f>
        <v>323360</v>
      </c>
      <c r="D23" s="483">
        <f>SUM(D24:D30)-D24</f>
        <v>323360</v>
      </c>
      <c r="E23" s="484">
        <f t="shared" si="13"/>
        <v>43796.69999999995</v>
      </c>
      <c r="F23" s="484">
        <f t="shared" si="0"/>
        <v>113.54425408213756</v>
      </c>
      <c r="G23" s="483">
        <f aca="true" t="shared" si="23" ref="G23:M23">SUM(G24:G30)-G24</f>
        <v>355868.1</v>
      </c>
      <c r="H23" s="483">
        <f t="shared" si="23"/>
        <v>326212.4</v>
      </c>
      <c r="I23" s="473">
        <f t="shared" si="23"/>
        <v>326212.4</v>
      </c>
      <c r="J23" s="483">
        <f t="shared" si="23"/>
        <v>355868.09999999986</v>
      </c>
      <c r="K23" s="473">
        <f t="shared" si="23"/>
        <v>355868.09999999986</v>
      </c>
      <c r="L23" s="483">
        <f t="shared" si="23"/>
        <v>367156.69999999995</v>
      </c>
      <c r="M23" s="483" t="e">
        <f t="shared" si="23"/>
        <v>#REF!</v>
      </c>
      <c r="N23" s="484">
        <f t="shared" si="2"/>
        <v>103.17213034829477</v>
      </c>
      <c r="O23" s="484">
        <f t="shared" si="16"/>
        <v>112.55142355103604</v>
      </c>
      <c r="P23" s="484">
        <f t="shared" si="17"/>
        <v>103.1721303482948</v>
      </c>
      <c r="Q23" s="484">
        <f t="shared" si="5"/>
        <v>40944.29999999993</v>
      </c>
      <c r="R23" s="484">
        <f t="shared" si="6"/>
        <v>11288.600000000093</v>
      </c>
      <c r="S23" s="460">
        <f t="shared" si="19"/>
        <v>22.72851474915334</v>
      </c>
      <c r="T23" s="461">
        <f t="shared" si="20"/>
        <v>0</v>
      </c>
      <c r="U23" s="461">
        <f t="shared" si="21"/>
        <v>0</v>
      </c>
      <c r="V23" s="461">
        <f t="shared" si="22"/>
        <v>0</v>
      </c>
      <c r="W23" s="462">
        <f t="shared" si="10"/>
        <v>0</v>
      </c>
      <c r="X23" s="461">
        <f t="shared" si="11"/>
        <v>0</v>
      </c>
    </row>
    <row r="24" spans="1:24" s="568" customFormat="1" ht="29.25" customHeight="1">
      <c r="A24" s="577" t="s">
        <v>132</v>
      </c>
      <c r="B24" s="458">
        <v>18010000</v>
      </c>
      <c r="C24" s="456">
        <f>C25+C26+C27</f>
        <v>170575.5</v>
      </c>
      <c r="D24" s="456">
        <f>D25+D26+D27</f>
        <v>170575.5</v>
      </c>
      <c r="E24" s="459">
        <f t="shared" si="13"/>
        <v>11037.599999999977</v>
      </c>
      <c r="F24" s="459">
        <f t="shared" si="0"/>
        <v>106.47080032009283</v>
      </c>
      <c r="G24" s="456">
        <f aca="true" t="shared" si="24" ref="G24:M24">G25+G26+G27</f>
        <v>173466</v>
      </c>
      <c r="H24" s="456">
        <f t="shared" si="24"/>
        <v>159010.5</v>
      </c>
      <c r="I24" s="522">
        <f t="shared" si="24"/>
        <v>159010.5</v>
      </c>
      <c r="J24" s="456">
        <f t="shared" si="24"/>
        <v>173465.99999999997</v>
      </c>
      <c r="K24" s="522">
        <f t="shared" si="24"/>
        <v>173465.99999999997</v>
      </c>
      <c r="L24" s="456">
        <f t="shared" si="24"/>
        <v>181613.09999999998</v>
      </c>
      <c r="M24" s="456" t="e">
        <f t="shared" si="24"/>
        <v>#REF!</v>
      </c>
      <c r="N24" s="459">
        <f t="shared" si="2"/>
        <v>104.6966552523261</v>
      </c>
      <c r="O24" s="459">
        <f t="shared" si="16"/>
        <v>114.21453300253755</v>
      </c>
      <c r="P24" s="459">
        <f t="shared" si="17"/>
        <v>104.6966552523261</v>
      </c>
      <c r="Q24" s="459">
        <f t="shared" si="5"/>
        <v>22602.599999999977</v>
      </c>
      <c r="R24" s="459">
        <f t="shared" si="6"/>
        <v>8147.100000000006</v>
      </c>
      <c r="S24" s="460">
        <f t="shared" si="19"/>
        <v>11.242600290256068</v>
      </c>
      <c r="T24" s="461">
        <f t="shared" si="20"/>
        <v>0</v>
      </c>
      <c r="U24" s="461">
        <f t="shared" si="21"/>
        <v>0</v>
      </c>
      <c r="V24" s="461">
        <f t="shared" si="22"/>
        <v>0</v>
      </c>
      <c r="W24" s="462">
        <f t="shared" si="10"/>
        <v>0</v>
      </c>
      <c r="X24" s="461">
        <f t="shared" si="11"/>
        <v>0</v>
      </c>
    </row>
    <row r="25" spans="1:24" s="568" customFormat="1" ht="71.25" customHeight="1">
      <c r="A25" s="577" t="s">
        <v>133</v>
      </c>
      <c r="B25" s="580" t="s">
        <v>298</v>
      </c>
      <c r="C25" s="456">
        <v>6769.3</v>
      </c>
      <c r="D25" s="456">
        <v>6769.3</v>
      </c>
      <c r="E25" s="459">
        <f t="shared" si="13"/>
        <v>1633.499999999999</v>
      </c>
      <c r="F25" s="459">
        <f t="shared" si="0"/>
        <v>124.13100320564902</v>
      </c>
      <c r="G25" s="456">
        <v>7637.4</v>
      </c>
      <c r="H25" s="456">
        <f aca="true" t="shared" si="25" ref="H25:H30">ROUND(G25*$T$6,1)</f>
        <v>7001</v>
      </c>
      <c r="I25" s="524">
        <f aca="true" t="shared" si="26" ref="I25:I30">ROUND((G25*$T$7+G25*$T$8),1)</f>
        <v>7001</v>
      </c>
      <c r="J25" s="456">
        <v>7637.400000000001</v>
      </c>
      <c r="K25" s="522">
        <v>7637.400000000001</v>
      </c>
      <c r="L25" s="456">
        <v>8402.8</v>
      </c>
      <c r="M25" s="456" t="e">
        <f>L25-#REF!</f>
        <v>#REF!</v>
      </c>
      <c r="N25" s="459">
        <f t="shared" si="2"/>
        <v>110.02173514546836</v>
      </c>
      <c r="O25" s="459">
        <f t="shared" si="16"/>
        <v>120.02285387801741</v>
      </c>
      <c r="P25" s="459">
        <f t="shared" si="17"/>
        <v>110.02173514546834</v>
      </c>
      <c r="Q25" s="459">
        <f t="shared" si="5"/>
        <v>1401.7999999999993</v>
      </c>
      <c r="R25" s="459">
        <f t="shared" si="6"/>
        <v>765.3999999999987</v>
      </c>
      <c r="S25" s="460">
        <f t="shared" si="19"/>
        <v>0.5201679929419392</v>
      </c>
      <c r="T25" s="461">
        <f t="shared" si="20"/>
        <v>0</v>
      </c>
      <c r="U25" s="461">
        <f t="shared" si="21"/>
        <v>0</v>
      </c>
      <c r="V25" s="461">
        <f t="shared" si="22"/>
        <v>0</v>
      </c>
      <c r="W25" s="462">
        <f t="shared" si="10"/>
        <v>0</v>
      </c>
      <c r="X25" s="461">
        <f t="shared" si="11"/>
        <v>0</v>
      </c>
    </row>
    <row r="26" spans="1:24" s="568" customFormat="1" ht="67.5" customHeight="1">
      <c r="A26" s="577" t="s">
        <v>134</v>
      </c>
      <c r="B26" s="458" t="s">
        <v>135</v>
      </c>
      <c r="C26" s="456">
        <v>162473.1</v>
      </c>
      <c r="D26" s="456">
        <v>162473.1</v>
      </c>
      <c r="E26" s="459">
        <f t="shared" si="13"/>
        <v>9470.699999999983</v>
      </c>
      <c r="F26" s="459">
        <f t="shared" si="0"/>
        <v>105.82908801518526</v>
      </c>
      <c r="G26" s="456">
        <v>164908.6</v>
      </c>
      <c r="H26" s="456">
        <f t="shared" si="25"/>
        <v>151166.2</v>
      </c>
      <c r="I26" s="524">
        <f t="shared" si="26"/>
        <v>151166.2</v>
      </c>
      <c r="J26" s="456">
        <v>164908.59999999998</v>
      </c>
      <c r="K26" s="522">
        <v>164908.59999999998</v>
      </c>
      <c r="L26" s="456">
        <v>171943.8</v>
      </c>
      <c r="M26" s="456" t="e">
        <f>L26-#REF!</f>
        <v>#REF!</v>
      </c>
      <c r="N26" s="459">
        <f t="shared" si="2"/>
        <v>104.26612074809924</v>
      </c>
      <c r="O26" s="459">
        <f t="shared" si="16"/>
        <v>113.74487153874344</v>
      </c>
      <c r="P26" s="459">
        <f t="shared" si="17"/>
        <v>104.26612074809927</v>
      </c>
      <c r="Q26" s="459">
        <f t="shared" si="5"/>
        <v>20777.599999999977</v>
      </c>
      <c r="R26" s="459">
        <f t="shared" si="6"/>
        <v>7035.200000000012</v>
      </c>
      <c r="S26" s="460">
        <f t="shared" si="19"/>
        <v>10.644030721284595</v>
      </c>
      <c r="T26" s="461">
        <f t="shared" si="20"/>
        <v>0</v>
      </c>
      <c r="U26" s="461">
        <f t="shared" si="21"/>
        <v>0</v>
      </c>
      <c r="V26" s="461">
        <f t="shared" si="22"/>
        <v>0</v>
      </c>
      <c r="W26" s="462">
        <f t="shared" si="10"/>
        <v>0</v>
      </c>
      <c r="X26" s="461">
        <f t="shared" si="11"/>
        <v>0</v>
      </c>
    </row>
    <row r="27" spans="1:24" s="568" customFormat="1" ht="30.75" customHeight="1">
      <c r="A27" s="577" t="s">
        <v>361</v>
      </c>
      <c r="B27" s="458" t="s">
        <v>362</v>
      </c>
      <c r="C27" s="456">
        <v>1333.1</v>
      </c>
      <c r="D27" s="456">
        <v>1333.1000000000001</v>
      </c>
      <c r="E27" s="459">
        <f t="shared" si="13"/>
        <v>-66.60000000000014</v>
      </c>
      <c r="F27" s="459">
        <f t="shared" si="0"/>
        <v>95.00412572200135</v>
      </c>
      <c r="G27" s="456">
        <v>920</v>
      </c>
      <c r="H27" s="456">
        <f t="shared" si="25"/>
        <v>843.3</v>
      </c>
      <c r="I27" s="524">
        <f t="shared" si="26"/>
        <v>843.3</v>
      </c>
      <c r="J27" s="456">
        <v>920</v>
      </c>
      <c r="K27" s="522">
        <v>920</v>
      </c>
      <c r="L27" s="456">
        <v>1266.5</v>
      </c>
      <c r="M27" s="456" t="e">
        <f>L27-#REF!</f>
        <v>#REF!</v>
      </c>
      <c r="N27" s="459">
        <f t="shared" si="2"/>
        <v>137.66304347826087</v>
      </c>
      <c r="O27" s="459">
        <f t="shared" si="16"/>
        <v>150.18380173129373</v>
      </c>
      <c r="P27" s="459">
        <f t="shared" si="17"/>
        <v>137.66304347826087</v>
      </c>
      <c r="Q27" s="459">
        <f t="shared" si="5"/>
        <v>423.20000000000005</v>
      </c>
      <c r="R27" s="459">
        <f t="shared" si="6"/>
        <v>346.5</v>
      </c>
      <c r="S27" s="460">
        <f t="shared" si="19"/>
        <v>0.07840157602953374</v>
      </c>
      <c r="T27" s="461">
        <f t="shared" si="20"/>
        <v>0</v>
      </c>
      <c r="U27" s="461">
        <f t="shared" si="21"/>
        <v>0</v>
      </c>
      <c r="V27" s="461">
        <f t="shared" si="22"/>
        <v>0</v>
      </c>
      <c r="W27" s="462">
        <f t="shared" si="10"/>
        <v>0</v>
      </c>
      <c r="X27" s="461">
        <f t="shared" si="11"/>
        <v>0</v>
      </c>
    </row>
    <row r="28" spans="1:24" s="568" customFormat="1" ht="20.25" customHeight="1">
      <c r="A28" s="577" t="s">
        <v>74</v>
      </c>
      <c r="B28" s="458">
        <v>18030000</v>
      </c>
      <c r="C28" s="456">
        <v>188.9</v>
      </c>
      <c r="D28" s="456">
        <v>188.9</v>
      </c>
      <c r="E28" s="459">
        <f t="shared" si="13"/>
        <v>48.19999999999999</v>
      </c>
      <c r="F28" s="459">
        <f t="shared" si="0"/>
        <v>125.5161461090524</v>
      </c>
      <c r="G28" s="456">
        <f>200+20.6</f>
        <v>220.6</v>
      </c>
      <c r="H28" s="456">
        <f t="shared" si="25"/>
        <v>202.2</v>
      </c>
      <c r="I28" s="524">
        <f t="shared" si="26"/>
        <v>202.2</v>
      </c>
      <c r="J28" s="456">
        <v>220.6</v>
      </c>
      <c r="K28" s="522">
        <v>220.6</v>
      </c>
      <c r="L28" s="456">
        <v>237.1</v>
      </c>
      <c r="M28" s="456" t="e">
        <f>L28-#REF!</f>
        <v>#REF!</v>
      </c>
      <c r="N28" s="459">
        <f t="shared" si="2"/>
        <v>107.47960108794197</v>
      </c>
      <c r="O28" s="459">
        <f t="shared" si="16"/>
        <v>117.2601384767557</v>
      </c>
      <c r="P28" s="459">
        <f t="shared" si="17"/>
        <v>107.47960108794197</v>
      </c>
      <c r="Q28" s="459">
        <f t="shared" si="5"/>
        <v>34.900000000000006</v>
      </c>
      <c r="R28" s="459">
        <f t="shared" si="6"/>
        <v>16.5</v>
      </c>
      <c r="S28" s="460">
        <f t="shared" si="19"/>
        <v>0.014677468358943898</v>
      </c>
      <c r="T28" s="461">
        <f t="shared" si="20"/>
        <v>0</v>
      </c>
      <c r="U28" s="461">
        <f t="shared" si="21"/>
        <v>0</v>
      </c>
      <c r="V28" s="461">
        <f t="shared" si="22"/>
        <v>0</v>
      </c>
      <c r="W28" s="462">
        <f t="shared" si="10"/>
        <v>0</v>
      </c>
      <c r="X28" s="461">
        <f t="shared" si="11"/>
        <v>0</v>
      </c>
    </row>
    <row r="29" spans="1:24" s="568" customFormat="1" ht="47.25">
      <c r="A29" s="577" t="s">
        <v>128</v>
      </c>
      <c r="B29" s="458" t="s">
        <v>75</v>
      </c>
      <c r="C29" s="456">
        <v>-44.9</v>
      </c>
      <c r="D29" s="456">
        <v>-44.9</v>
      </c>
      <c r="E29" s="459">
        <f t="shared" si="13"/>
        <v>29.9</v>
      </c>
      <c r="F29" s="459">
        <f t="shared" si="0"/>
        <v>33.4075723830735</v>
      </c>
      <c r="G29" s="456"/>
      <c r="H29" s="456">
        <f t="shared" si="25"/>
        <v>0</v>
      </c>
      <c r="I29" s="522">
        <f t="shared" si="26"/>
        <v>0</v>
      </c>
      <c r="J29" s="456"/>
      <c r="K29" s="522"/>
      <c r="L29" s="456">
        <v>-15</v>
      </c>
      <c r="M29" s="456" t="e">
        <f>L29-#REF!</f>
        <v>#REF!</v>
      </c>
      <c r="N29" s="530" t="e">
        <f t="shared" si="2"/>
        <v>#DIV/0!</v>
      </c>
      <c r="O29" s="530" t="e">
        <f t="shared" si="16"/>
        <v>#DIV/0!</v>
      </c>
      <c r="P29" s="530" t="e">
        <f t="shared" si="17"/>
        <v>#DIV/0!</v>
      </c>
      <c r="Q29" s="459">
        <f t="shared" si="5"/>
        <v>-15</v>
      </c>
      <c r="R29" s="459">
        <f t="shared" si="6"/>
        <v>-15</v>
      </c>
      <c r="S29" s="460">
        <f t="shared" si="19"/>
        <v>-0.0009285618953359699</v>
      </c>
      <c r="T29" s="461">
        <f t="shared" si="20"/>
        <v>0</v>
      </c>
      <c r="U29" s="461" t="e">
        <f t="shared" si="21"/>
        <v>#DIV/0!</v>
      </c>
      <c r="V29" s="461" t="e">
        <f t="shared" si="22"/>
        <v>#DIV/0!</v>
      </c>
      <c r="W29" s="462">
        <f t="shared" si="10"/>
        <v>0</v>
      </c>
      <c r="X29" s="461">
        <f t="shared" si="11"/>
        <v>0</v>
      </c>
    </row>
    <row r="30" spans="1:24" s="568" customFormat="1" ht="24.75" customHeight="1">
      <c r="A30" s="577" t="s">
        <v>136</v>
      </c>
      <c r="B30" s="458">
        <v>18050000</v>
      </c>
      <c r="C30" s="456">
        <v>152640.5</v>
      </c>
      <c r="D30" s="456">
        <v>152640.5</v>
      </c>
      <c r="E30" s="459">
        <f t="shared" si="13"/>
        <v>32681</v>
      </c>
      <c r="F30" s="459">
        <f t="shared" si="0"/>
        <v>121.41043825197113</v>
      </c>
      <c r="G30" s="456">
        <v>182181.5</v>
      </c>
      <c r="H30" s="456">
        <f t="shared" si="25"/>
        <v>166999.7</v>
      </c>
      <c r="I30" s="524">
        <f t="shared" si="26"/>
        <v>166999.7</v>
      </c>
      <c r="J30" s="456">
        <v>182181.5</v>
      </c>
      <c r="K30" s="522">
        <v>182181.5</v>
      </c>
      <c r="L30" s="456">
        <v>185321.5</v>
      </c>
      <c r="M30" s="456" t="e">
        <f>L30-#REF!</f>
        <v>#REF!</v>
      </c>
      <c r="N30" s="459">
        <f t="shared" si="2"/>
        <v>101.723555904414</v>
      </c>
      <c r="O30" s="459">
        <f t="shared" si="16"/>
        <v>110.97115743321694</v>
      </c>
      <c r="P30" s="459">
        <f t="shared" si="17"/>
        <v>101.723555904414</v>
      </c>
      <c r="Q30" s="459">
        <f t="shared" si="5"/>
        <v>18321.79999999999</v>
      </c>
      <c r="R30" s="459">
        <f t="shared" si="6"/>
        <v>3140</v>
      </c>
      <c r="S30" s="460">
        <f t="shared" si="19"/>
        <v>11.472165552433664</v>
      </c>
      <c r="T30" s="461">
        <f t="shared" si="20"/>
        <v>0</v>
      </c>
      <c r="U30" s="461">
        <f t="shared" si="21"/>
        <v>0</v>
      </c>
      <c r="V30" s="461">
        <f t="shared" si="22"/>
        <v>0</v>
      </c>
      <c r="W30" s="462">
        <f t="shared" si="10"/>
        <v>0</v>
      </c>
      <c r="X30" s="461">
        <f t="shared" si="11"/>
        <v>0</v>
      </c>
    </row>
    <row r="31" spans="1:24" s="574" customFormat="1" ht="23.25" customHeight="1">
      <c r="A31" s="578" t="s">
        <v>77</v>
      </c>
      <c r="B31" s="573">
        <v>20000000</v>
      </c>
      <c r="C31" s="483">
        <f>C32+C42+C51</f>
        <v>79359.79999999999</v>
      </c>
      <c r="D31" s="483">
        <f>D32+D42+D51</f>
        <v>79359.99999999999</v>
      </c>
      <c r="E31" s="484">
        <f t="shared" si="13"/>
        <v>-12538.599999999991</v>
      </c>
      <c r="F31" s="484">
        <f t="shared" si="0"/>
        <v>84.20035282258065</v>
      </c>
      <c r="G31" s="483">
        <f aca="true" t="shared" si="27" ref="G31:M31">G32+G42+G51</f>
        <v>60383.799999999996</v>
      </c>
      <c r="H31" s="483">
        <f t="shared" si="27"/>
        <v>55351.7</v>
      </c>
      <c r="I31" s="473">
        <f t="shared" si="27"/>
        <v>55351.7</v>
      </c>
      <c r="J31" s="483">
        <f t="shared" si="27"/>
        <v>60383.7</v>
      </c>
      <c r="K31" s="473">
        <f t="shared" si="27"/>
        <v>60383.7</v>
      </c>
      <c r="L31" s="483">
        <f t="shared" si="27"/>
        <v>66821.4</v>
      </c>
      <c r="M31" s="483" t="e">
        <f t="shared" si="27"/>
        <v>#REF!</v>
      </c>
      <c r="N31" s="483">
        <f t="shared" si="2"/>
        <v>110.66113758988338</v>
      </c>
      <c r="O31" s="484">
        <f t="shared" si="16"/>
        <v>120.72149545542412</v>
      </c>
      <c r="P31" s="483">
        <f t="shared" si="17"/>
        <v>110.66132085314413</v>
      </c>
      <c r="Q31" s="484">
        <f t="shared" si="5"/>
        <v>11469.699999999997</v>
      </c>
      <c r="R31" s="484">
        <f t="shared" si="6"/>
        <v>6437.699999999997</v>
      </c>
      <c r="S31" s="460">
        <f t="shared" si="19"/>
        <v>4.136520388866865</v>
      </c>
      <c r="T31" s="461">
        <f t="shared" si="20"/>
        <v>0</v>
      </c>
      <c r="U31" s="461">
        <f t="shared" si="21"/>
        <v>0</v>
      </c>
      <c r="V31" s="461">
        <f t="shared" si="22"/>
        <v>0</v>
      </c>
      <c r="W31" s="462">
        <f t="shared" si="10"/>
        <v>0</v>
      </c>
      <c r="X31" s="461">
        <f t="shared" si="11"/>
        <v>0</v>
      </c>
    </row>
    <row r="32" spans="1:24" s="574" customFormat="1" ht="31.5">
      <c r="A32" s="578" t="s">
        <v>78</v>
      </c>
      <c r="B32" s="573">
        <v>21000000</v>
      </c>
      <c r="C32" s="483">
        <f>C35+C36+C33</f>
        <v>38180.09999999999</v>
      </c>
      <c r="D32" s="483">
        <f>D35+D36+D33</f>
        <v>38180.09999999999</v>
      </c>
      <c r="E32" s="484">
        <f t="shared" si="13"/>
        <v>-19632.39999999999</v>
      </c>
      <c r="F32" s="484">
        <f t="shared" si="0"/>
        <v>48.57949560111159</v>
      </c>
      <c r="G32" s="483">
        <f aca="true" t="shared" si="28" ref="G32:M32">G35+G36+G33</f>
        <v>14215.5</v>
      </c>
      <c r="H32" s="483">
        <f t="shared" si="28"/>
        <v>13030.8</v>
      </c>
      <c r="I32" s="473">
        <f t="shared" si="28"/>
        <v>13030.8</v>
      </c>
      <c r="J32" s="483">
        <f t="shared" si="28"/>
        <v>14215.5</v>
      </c>
      <c r="K32" s="473">
        <f t="shared" si="28"/>
        <v>14215.5</v>
      </c>
      <c r="L32" s="483">
        <f t="shared" si="28"/>
        <v>18547.7</v>
      </c>
      <c r="M32" s="483" t="e">
        <f t="shared" si="28"/>
        <v>#REF!</v>
      </c>
      <c r="N32" s="483">
        <f t="shared" si="2"/>
        <v>130.47518553691393</v>
      </c>
      <c r="O32" s="484">
        <f t="shared" si="16"/>
        <v>142.33738527181757</v>
      </c>
      <c r="P32" s="483">
        <f t="shared" si="17"/>
        <v>130.47518553691393</v>
      </c>
      <c r="Q32" s="484">
        <f t="shared" si="5"/>
        <v>5516.9000000000015</v>
      </c>
      <c r="R32" s="484">
        <f t="shared" si="6"/>
        <v>4332.200000000001</v>
      </c>
      <c r="S32" s="460">
        <f t="shared" si="19"/>
        <v>1.148179164408198</v>
      </c>
      <c r="T32" s="461">
        <f t="shared" si="20"/>
        <v>0</v>
      </c>
      <c r="U32" s="461">
        <f t="shared" si="21"/>
        <v>0</v>
      </c>
      <c r="V32" s="461">
        <f t="shared" si="22"/>
        <v>0</v>
      </c>
      <c r="W32" s="462">
        <f t="shared" si="10"/>
        <v>0</v>
      </c>
      <c r="X32" s="461">
        <f t="shared" si="11"/>
        <v>0</v>
      </c>
    </row>
    <row r="33" spans="1:24" s="568" customFormat="1" ht="110.25">
      <c r="A33" s="464" t="s">
        <v>356</v>
      </c>
      <c r="B33" s="458">
        <v>21010000</v>
      </c>
      <c r="C33" s="456">
        <f>C34</f>
        <v>52.2</v>
      </c>
      <c r="D33" s="456">
        <f>D34</f>
        <v>52.2</v>
      </c>
      <c r="E33" s="459">
        <f t="shared" si="13"/>
        <v>-41.5</v>
      </c>
      <c r="F33" s="459">
        <f t="shared" si="0"/>
        <v>20.498084291187737</v>
      </c>
      <c r="G33" s="456">
        <f aca="true" t="shared" si="29" ref="G33:M33">G34</f>
        <v>133.10000000000002</v>
      </c>
      <c r="H33" s="456">
        <f t="shared" si="29"/>
        <v>122</v>
      </c>
      <c r="I33" s="522">
        <f t="shared" si="29"/>
        <v>122</v>
      </c>
      <c r="J33" s="456">
        <f t="shared" si="29"/>
        <v>133.1</v>
      </c>
      <c r="K33" s="522">
        <f t="shared" si="29"/>
        <v>133.1</v>
      </c>
      <c r="L33" s="456">
        <f t="shared" si="29"/>
        <v>10.7</v>
      </c>
      <c r="M33" s="456" t="e">
        <f t="shared" si="29"/>
        <v>#REF!</v>
      </c>
      <c r="N33" s="456">
        <f t="shared" si="2"/>
        <v>8.03906836964688</v>
      </c>
      <c r="O33" s="459">
        <f t="shared" si="16"/>
        <v>8.770491803278688</v>
      </c>
      <c r="P33" s="456">
        <f t="shared" si="17"/>
        <v>8.039068369646882</v>
      </c>
      <c r="Q33" s="459">
        <f t="shared" si="5"/>
        <v>-111.3</v>
      </c>
      <c r="R33" s="459">
        <f t="shared" si="6"/>
        <v>-122.39999999999999</v>
      </c>
      <c r="S33" s="460">
        <f t="shared" si="19"/>
        <v>0.0006623741520063251</v>
      </c>
      <c r="T33" s="461">
        <f t="shared" si="20"/>
        <v>0</v>
      </c>
      <c r="U33" s="461">
        <f t="shared" si="21"/>
        <v>0</v>
      </c>
      <c r="V33" s="461">
        <f t="shared" si="22"/>
        <v>0</v>
      </c>
      <c r="W33" s="462">
        <f t="shared" si="10"/>
        <v>0</v>
      </c>
      <c r="X33" s="461">
        <f t="shared" si="11"/>
        <v>0</v>
      </c>
    </row>
    <row r="34" spans="1:24" s="581" customFormat="1" ht="63">
      <c r="A34" s="569" t="s">
        <v>107</v>
      </c>
      <c r="B34" s="570">
        <v>21010300</v>
      </c>
      <c r="C34" s="472">
        <v>52.2</v>
      </c>
      <c r="D34" s="472">
        <v>52.2</v>
      </c>
      <c r="E34" s="529">
        <f t="shared" si="13"/>
        <v>-41.5</v>
      </c>
      <c r="F34" s="529">
        <f t="shared" si="0"/>
        <v>20.498084291187737</v>
      </c>
      <c r="G34" s="472">
        <f>79.4+53.7</f>
        <v>133.10000000000002</v>
      </c>
      <c r="H34" s="456">
        <f>ROUND(G34*$T$6,1)</f>
        <v>122</v>
      </c>
      <c r="I34" s="524">
        <f>ROUND((G34*$T$7+G34*$T$8),1)</f>
        <v>122</v>
      </c>
      <c r="J34" s="472">
        <v>133.1</v>
      </c>
      <c r="K34" s="523">
        <v>133.1</v>
      </c>
      <c r="L34" s="472">
        <v>10.7</v>
      </c>
      <c r="M34" s="472" t="e">
        <f>L34-#REF!</f>
        <v>#REF!</v>
      </c>
      <c r="N34" s="472">
        <f t="shared" si="2"/>
        <v>8.03906836964688</v>
      </c>
      <c r="O34" s="529">
        <f t="shared" si="16"/>
        <v>8.770491803278688</v>
      </c>
      <c r="P34" s="472">
        <f t="shared" si="17"/>
        <v>8.039068369646882</v>
      </c>
      <c r="Q34" s="529">
        <f t="shared" si="5"/>
        <v>-111.3</v>
      </c>
      <c r="R34" s="529">
        <f t="shared" si="6"/>
        <v>-122.39999999999999</v>
      </c>
      <c r="S34" s="460">
        <f t="shared" si="19"/>
        <v>0.0006623741520063251</v>
      </c>
      <c r="T34" s="567">
        <f aca="true" t="shared" si="30" ref="T34:T40">G34*6/12+G34*18/(21*12)</f>
        <v>76.05714285714286</v>
      </c>
      <c r="U34" s="461">
        <f t="shared" si="21"/>
        <v>0</v>
      </c>
      <c r="V34" s="461">
        <f t="shared" si="22"/>
        <v>0</v>
      </c>
      <c r="W34" s="462">
        <f t="shared" si="10"/>
        <v>0</v>
      </c>
      <c r="X34" s="461">
        <f t="shared" si="11"/>
        <v>0</v>
      </c>
    </row>
    <row r="35" spans="1:24" s="574" customFormat="1" ht="31.5">
      <c r="A35" s="578" t="s">
        <v>79</v>
      </c>
      <c r="B35" s="573">
        <v>21050000</v>
      </c>
      <c r="C35" s="483">
        <v>37343.7</v>
      </c>
      <c r="D35" s="483">
        <v>37343.7</v>
      </c>
      <c r="E35" s="484">
        <f t="shared" si="13"/>
        <v>-20693.1</v>
      </c>
      <c r="F35" s="484">
        <f t="shared" si="0"/>
        <v>44.58744045180312</v>
      </c>
      <c r="G35" s="483">
        <f>9200+53.8+3839.6</f>
        <v>13093.4</v>
      </c>
      <c r="H35" s="483">
        <f>ROUND(G35*$T$6,1)</f>
        <v>12002.3</v>
      </c>
      <c r="I35" s="473">
        <f>ROUND((G35*$T$7+G35*$T$8),1)</f>
        <v>12002.3</v>
      </c>
      <c r="J35" s="483">
        <v>13093.4</v>
      </c>
      <c r="K35" s="473">
        <v>13093.4</v>
      </c>
      <c r="L35" s="483">
        <v>16650.6</v>
      </c>
      <c r="M35" s="483" t="e">
        <f>L35-#REF!</f>
        <v>#REF!</v>
      </c>
      <c r="N35" s="484">
        <f>L35/G35*100</f>
        <v>127.16788611055951</v>
      </c>
      <c r="O35" s="484">
        <f t="shared" si="16"/>
        <v>138.72841038800897</v>
      </c>
      <c r="P35" s="484">
        <f t="shared" si="17"/>
        <v>127.16788611055951</v>
      </c>
      <c r="Q35" s="484">
        <f t="shared" si="5"/>
        <v>4648.299999999999</v>
      </c>
      <c r="R35" s="484">
        <f t="shared" si="6"/>
        <v>3557.199999999999</v>
      </c>
      <c r="S35" s="460">
        <f t="shared" si="19"/>
        <v>1.03074084629874</v>
      </c>
      <c r="T35" s="567">
        <f t="shared" si="30"/>
        <v>7481.942857142857</v>
      </c>
      <c r="U35" s="461">
        <f t="shared" si="21"/>
        <v>0</v>
      </c>
      <c r="V35" s="461">
        <f t="shared" si="22"/>
        <v>0</v>
      </c>
      <c r="W35" s="462">
        <f t="shared" si="10"/>
        <v>0</v>
      </c>
      <c r="X35" s="461">
        <f t="shared" si="11"/>
        <v>0</v>
      </c>
    </row>
    <row r="36" spans="1:24" s="568" customFormat="1" ht="23.25" customHeight="1">
      <c r="A36" s="464" t="s">
        <v>80</v>
      </c>
      <c r="B36" s="458">
        <v>21080000</v>
      </c>
      <c r="C36" s="456">
        <f>SUM(C37:C41)</f>
        <v>784.1999999999999</v>
      </c>
      <c r="D36" s="456">
        <f>SUM(D37:D41)</f>
        <v>784.1999999999999</v>
      </c>
      <c r="E36" s="459">
        <f t="shared" si="13"/>
        <v>1102.2000000000003</v>
      </c>
      <c r="F36" s="459">
        <f t="shared" si="0"/>
        <v>240.5508798775823</v>
      </c>
      <c r="G36" s="456">
        <f aca="true" t="shared" si="31" ref="G36:M36">SUM(G37:G41)</f>
        <v>989</v>
      </c>
      <c r="H36" s="456">
        <f t="shared" si="31"/>
        <v>906.5000000000001</v>
      </c>
      <c r="I36" s="522">
        <f t="shared" si="31"/>
        <v>906.5000000000001</v>
      </c>
      <c r="J36" s="456">
        <f t="shared" si="31"/>
        <v>989</v>
      </c>
      <c r="K36" s="522">
        <f t="shared" si="31"/>
        <v>989</v>
      </c>
      <c r="L36" s="456">
        <f t="shared" si="31"/>
        <v>1886.4</v>
      </c>
      <c r="M36" s="456" t="e">
        <f t="shared" si="31"/>
        <v>#REF!</v>
      </c>
      <c r="N36" s="456">
        <f t="shared" si="2"/>
        <v>190.7381193124368</v>
      </c>
      <c r="O36" s="459">
        <f t="shared" si="16"/>
        <v>208.09707666850522</v>
      </c>
      <c r="P36" s="456">
        <f t="shared" si="17"/>
        <v>190.7381193124368</v>
      </c>
      <c r="Q36" s="459">
        <f t="shared" si="5"/>
        <v>979.9</v>
      </c>
      <c r="R36" s="459">
        <f t="shared" si="6"/>
        <v>897.4000000000001</v>
      </c>
      <c r="S36" s="460">
        <f t="shared" si="19"/>
        <v>0.11677594395745158</v>
      </c>
      <c r="T36" s="567">
        <f t="shared" si="30"/>
        <v>565.1428571428571</v>
      </c>
      <c r="U36" s="461">
        <f t="shared" si="21"/>
        <v>0</v>
      </c>
      <c r="V36" s="461">
        <f t="shared" si="22"/>
        <v>0</v>
      </c>
      <c r="W36" s="462">
        <f t="shared" si="10"/>
        <v>0</v>
      </c>
      <c r="X36" s="461">
        <f t="shared" si="11"/>
        <v>0</v>
      </c>
    </row>
    <row r="37" spans="1:24" s="583" customFormat="1" ht="20.25" customHeight="1">
      <c r="A37" s="569" t="s">
        <v>80</v>
      </c>
      <c r="B37" s="570">
        <v>21080500</v>
      </c>
      <c r="C37" s="472"/>
      <c r="D37" s="582">
        <v>0</v>
      </c>
      <c r="E37" s="459">
        <f t="shared" si="13"/>
        <v>4.4</v>
      </c>
      <c r="F37" s="459"/>
      <c r="G37" s="472"/>
      <c r="H37" s="472">
        <f>ROUND(G37*$T$6,1)</f>
        <v>0</v>
      </c>
      <c r="I37" s="524">
        <f>ROUND((G37*$T$7+G37*$T$8),1)</f>
        <v>0</v>
      </c>
      <c r="J37" s="472">
        <v>0</v>
      </c>
      <c r="K37" s="523">
        <v>0</v>
      </c>
      <c r="L37" s="472">
        <v>4.4</v>
      </c>
      <c r="M37" s="456" t="e">
        <f>L37-#REF!</f>
        <v>#REF!</v>
      </c>
      <c r="N37" s="530" t="e">
        <f t="shared" si="2"/>
        <v>#DIV/0!</v>
      </c>
      <c r="O37" s="530" t="e">
        <f t="shared" si="16"/>
        <v>#DIV/0!</v>
      </c>
      <c r="P37" s="530" t="e">
        <f t="shared" si="17"/>
        <v>#DIV/0!</v>
      </c>
      <c r="Q37" s="459">
        <f t="shared" si="5"/>
        <v>4.4</v>
      </c>
      <c r="R37" s="459">
        <f t="shared" si="6"/>
        <v>4.4</v>
      </c>
      <c r="S37" s="460">
        <f t="shared" si="19"/>
        <v>0.0002723781559652179</v>
      </c>
      <c r="T37" s="567">
        <f t="shared" si="30"/>
        <v>0</v>
      </c>
      <c r="U37" s="461" t="e">
        <f t="shared" si="21"/>
        <v>#DIV/0!</v>
      </c>
      <c r="V37" s="461" t="e">
        <f t="shared" si="22"/>
        <v>#DIV/0!</v>
      </c>
      <c r="W37" s="462">
        <f t="shared" si="10"/>
        <v>0</v>
      </c>
      <c r="X37" s="461">
        <f t="shared" si="11"/>
        <v>0</v>
      </c>
    </row>
    <row r="38" spans="1:24" s="583" customFormat="1" ht="78.75">
      <c r="A38" s="569" t="s">
        <v>81</v>
      </c>
      <c r="B38" s="570">
        <v>21080900</v>
      </c>
      <c r="C38" s="472"/>
      <c r="D38" s="582"/>
      <c r="E38" s="459">
        <f>L38-D38</f>
        <v>5.6</v>
      </c>
      <c r="F38" s="548" t="e">
        <f>L38/D38*100</f>
        <v>#DIV/0!</v>
      </c>
      <c r="G38" s="472">
        <f>5.6</f>
        <v>5.6</v>
      </c>
      <c r="H38" s="472">
        <f>ROUND(G38*$T$6,1)</f>
        <v>5.1</v>
      </c>
      <c r="I38" s="524">
        <f>ROUND((G38*$T$7+G38*$T$8),1)</f>
        <v>5.1</v>
      </c>
      <c r="J38" s="472">
        <v>5.6</v>
      </c>
      <c r="K38" s="523">
        <v>5.6</v>
      </c>
      <c r="L38" s="472">
        <v>5.6</v>
      </c>
      <c r="M38" s="456" t="e">
        <f>L38-#REF!</f>
        <v>#REF!</v>
      </c>
      <c r="N38" s="459">
        <f>L38/G38*100</f>
        <v>100</v>
      </c>
      <c r="O38" s="459">
        <f>L38/I38*100</f>
        <v>109.80392156862746</v>
      </c>
      <c r="P38" s="459">
        <f>L38/K38*100</f>
        <v>100</v>
      </c>
      <c r="Q38" s="459">
        <f>L38-I38</f>
        <v>0.5</v>
      </c>
      <c r="R38" s="459">
        <f>L38-K38</f>
        <v>0</v>
      </c>
      <c r="S38" s="460"/>
      <c r="T38" s="567"/>
      <c r="U38" s="461"/>
      <c r="V38" s="461"/>
      <c r="W38" s="598"/>
      <c r="X38" s="461"/>
    </row>
    <row r="39" spans="1:24" s="584" customFormat="1" ht="21">
      <c r="A39" s="569" t="s">
        <v>82</v>
      </c>
      <c r="B39" s="570">
        <v>21081100</v>
      </c>
      <c r="C39" s="472">
        <v>610.3</v>
      </c>
      <c r="D39" s="472">
        <v>610.3</v>
      </c>
      <c r="E39" s="472">
        <f t="shared" si="13"/>
        <v>860.5</v>
      </c>
      <c r="F39" s="472">
        <f t="shared" si="0"/>
        <v>240.99623136162543</v>
      </c>
      <c r="G39" s="456">
        <f>621.5+91.1</f>
        <v>712.6</v>
      </c>
      <c r="H39" s="456">
        <f>ROUND(G39*$T$6,1)</f>
        <v>653.2</v>
      </c>
      <c r="I39" s="522">
        <f>ROUND((G39*$T$7+G39*$T$8),1)</f>
        <v>653.2</v>
      </c>
      <c r="J39" s="456">
        <v>712.6</v>
      </c>
      <c r="K39" s="522">
        <v>712.6</v>
      </c>
      <c r="L39" s="456">
        <v>1470.8</v>
      </c>
      <c r="M39" s="456" t="e">
        <f>L39-#REF!</f>
        <v>#REF!</v>
      </c>
      <c r="N39" s="456">
        <f>L39/G39*100</f>
        <v>206.39910188043783</v>
      </c>
      <c r="O39" s="456">
        <f t="shared" si="16"/>
        <v>225.16840171463565</v>
      </c>
      <c r="P39" s="456">
        <f t="shared" si="17"/>
        <v>206.39910188043783</v>
      </c>
      <c r="Q39" s="456">
        <f t="shared" si="5"/>
        <v>817.5999999999999</v>
      </c>
      <c r="R39" s="456">
        <f t="shared" si="6"/>
        <v>758.1999999999999</v>
      </c>
      <c r="S39" s="460">
        <f>L39/$L$62*100</f>
        <v>0.09104858904400964</v>
      </c>
      <c r="T39" s="567">
        <f t="shared" si="30"/>
        <v>407.20000000000005</v>
      </c>
      <c r="U39" s="461">
        <f t="shared" si="21"/>
        <v>0</v>
      </c>
      <c r="V39" s="461">
        <f t="shared" si="22"/>
        <v>0</v>
      </c>
      <c r="W39" s="462">
        <f t="shared" si="10"/>
        <v>0</v>
      </c>
      <c r="X39" s="461">
        <f t="shared" si="11"/>
        <v>0</v>
      </c>
    </row>
    <row r="40" spans="1:24" s="584" customFormat="1" ht="63">
      <c r="A40" s="569" t="s">
        <v>144</v>
      </c>
      <c r="B40" s="570">
        <v>21081500</v>
      </c>
      <c r="C40" s="472">
        <v>173.9</v>
      </c>
      <c r="D40" s="472">
        <v>173.9</v>
      </c>
      <c r="E40" s="472">
        <f t="shared" si="13"/>
        <v>224.20000000000002</v>
      </c>
      <c r="F40" s="459">
        <f t="shared" si="0"/>
        <v>228.92466935020127</v>
      </c>
      <c r="G40" s="472">
        <f>150+117.4</f>
        <v>267.4</v>
      </c>
      <c r="H40" s="472">
        <f>ROUND(G40*$T$6,1)</f>
        <v>245.1</v>
      </c>
      <c r="I40" s="524">
        <f>ROUND((G40*$T$7+G40*$T$8),1)</f>
        <v>245.1</v>
      </c>
      <c r="J40" s="472">
        <v>267.4</v>
      </c>
      <c r="K40" s="523">
        <v>267.4</v>
      </c>
      <c r="L40" s="472">
        <v>398.1</v>
      </c>
      <c r="M40" s="456" t="e">
        <f>L40-#REF!</f>
        <v>#REF!</v>
      </c>
      <c r="N40" s="529">
        <f t="shared" si="2"/>
        <v>148.87808526551984</v>
      </c>
      <c r="O40" s="459">
        <f t="shared" si="16"/>
        <v>162.4235006119951</v>
      </c>
      <c r="P40" s="529">
        <f t="shared" si="17"/>
        <v>148.87808526551984</v>
      </c>
      <c r="Q40" s="459">
        <f t="shared" si="5"/>
        <v>153.00000000000003</v>
      </c>
      <c r="R40" s="459">
        <f t="shared" si="6"/>
        <v>130.70000000000005</v>
      </c>
      <c r="S40" s="460">
        <f>L40/$L$62*100</f>
        <v>0.024644032702216646</v>
      </c>
      <c r="T40" s="567">
        <f t="shared" si="30"/>
        <v>152.79999999999998</v>
      </c>
      <c r="U40" s="461">
        <f t="shared" si="21"/>
        <v>0</v>
      </c>
      <c r="V40" s="461">
        <f t="shared" si="22"/>
        <v>0</v>
      </c>
      <c r="W40" s="462">
        <f t="shared" si="10"/>
        <v>0</v>
      </c>
      <c r="X40" s="461">
        <f t="shared" si="11"/>
        <v>0</v>
      </c>
    </row>
    <row r="41" spans="1:24" s="584" customFormat="1" ht="21">
      <c r="A41" s="569" t="s">
        <v>21</v>
      </c>
      <c r="B41" s="570">
        <v>21081700</v>
      </c>
      <c r="C41" s="472"/>
      <c r="D41" s="472">
        <v>0</v>
      </c>
      <c r="E41" s="472">
        <f>L41-D41</f>
        <v>7.5</v>
      </c>
      <c r="F41" s="459"/>
      <c r="G41" s="472">
        <v>3.4</v>
      </c>
      <c r="H41" s="472">
        <f>ROUND(G41*$T$6,1)</f>
        <v>3.1</v>
      </c>
      <c r="I41" s="524">
        <f>ROUND((G41*$T$7+G41*$T$8),1)</f>
        <v>3.1</v>
      </c>
      <c r="J41" s="472">
        <v>3.4</v>
      </c>
      <c r="K41" s="523">
        <v>3.4</v>
      </c>
      <c r="L41" s="472">
        <v>7.5</v>
      </c>
      <c r="M41" s="456" t="e">
        <f>L41-#REF!</f>
        <v>#REF!</v>
      </c>
      <c r="N41" s="529">
        <f>L41/G41*100</f>
        <v>220.58823529411765</v>
      </c>
      <c r="O41" s="459">
        <f>L41/I41*100</f>
        <v>241.93548387096774</v>
      </c>
      <c r="P41" s="529">
        <f>L41/K41*100</f>
        <v>220.58823529411765</v>
      </c>
      <c r="Q41" s="459">
        <f>L41-I41</f>
        <v>4.4</v>
      </c>
      <c r="R41" s="459">
        <f>L41-K41</f>
        <v>4.1</v>
      </c>
      <c r="S41" s="460"/>
      <c r="T41" s="567"/>
      <c r="U41" s="461"/>
      <c r="V41" s="461"/>
      <c r="W41" s="598"/>
      <c r="X41" s="461"/>
    </row>
    <row r="42" spans="1:24" s="574" customFormat="1" ht="31.5">
      <c r="A42" s="578" t="s">
        <v>83</v>
      </c>
      <c r="B42" s="573">
        <v>22000000</v>
      </c>
      <c r="C42" s="483">
        <f>C48+C50+C43</f>
        <v>38031.5</v>
      </c>
      <c r="D42" s="483">
        <f>D48+D50+D43</f>
        <v>38031.6</v>
      </c>
      <c r="E42" s="484">
        <f t="shared" si="13"/>
        <v>6266.200000000004</v>
      </c>
      <c r="F42" s="484">
        <f t="shared" si="0"/>
        <v>116.47629865690638</v>
      </c>
      <c r="G42" s="483">
        <f aca="true" t="shared" si="32" ref="G42:M42">G48+G50+G43</f>
        <v>43513.2</v>
      </c>
      <c r="H42" s="483">
        <f t="shared" si="32"/>
        <v>39887.1</v>
      </c>
      <c r="I42" s="473">
        <f t="shared" si="32"/>
        <v>39887.1</v>
      </c>
      <c r="J42" s="483">
        <f t="shared" si="32"/>
        <v>43513.2</v>
      </c>
      <c r="K42" s="473">
        <f>K48+K50+K43</f>
        <v>43513.2</v>
      </c>
      <c r="L42" s="483">
        <f t="shared" si="32"/>
        <v>44297.8</v>
      </c>
      <c r="M42" s="483" t="e">
        <f t="shared" si="32"/>
        <v>#REF!</v>
      </c>
      <c r="N42" s="483">
        <f t="shared" si="2"/>
        <v>101.80313100392526</v>
      </c>
      <c r="O42" s="484">
        <f t="shared" si="16"/>
        <v>111.05796109519119</v>
      </c>
      <c r="P42" s="483">
        <f t="shared" si="17"/>
        <v>101.80313100392526</v>
      </c>
      <c r="Q42" s="484">
        <f t="shared" si="5"/>
        <v>4410.700000000004</v>
      </c>
      <c r="R42" s="484">
        <f t="shared" si="6"/>
        <v>784.6000000000058</v>
      </c>
      <c r="S42" s="460">
        <f aca="true" t="shared" si="33" ref="S42:S54">L42/$L$62*100</f>
        <v>2.7422166084809154</v>
      </c>
      <c r="T42" s="461">
        <f aca="true" t="shared" si="34" ref="T42:T64">L42-K42-R42</f>
        <v>0</v>
      </c>
      <c r="U42" s="461">
        <f t="shared" si="21"/>
        <v>0</v>
      </c>
      <c r="V42" s="461">
        <f t="shared" si="22"/>
        <v>0</v>
      </c>
      <c r="W42" s="462">
        <f t="shared" si="10"/>
        <v>0</v>
      </c>
      <c r="X42" s="461">
        <f t="shared" si="11"/>
        <v>0</v>
      </c>
    </row>
    <row r="43" spans="1:24" s="568" customFormat="1" ht="20.25">
      <c r="A43" s="464" t="s">
        <v>84</v>
      </c>
      <c r="B43" s="458" t="s">
        <v>85</v>
      </c>
      <c r="C43" s="456">
        <f>C44+C45+C46+C47</f>
        <v>17134.699999999997</v>
      </c>
      <c r="D43" s="456">
        <f>D44+D45+D46+D47</f>
        <v>17134.8</v>
      </c>
      <c r="E43" s="459">
        <f t="shared" si="13"/>
        <v>4960.799999999999</v>
      </c>
      <c r="F43" s="459">
        <f t="shared" si="0"/>
        <v>128.95160725541004</v>
      </c>
      <c r="G43" s="456">
        <f aca="true" t="shared" si="35" ref="G43:M43">G44+G45+G46+G47</f>
        <v>23053.2</v>
      </c>
      <c r="H43" s="456">
        <f t="shared" si="35"/>
        <v>21132.1</v>
      </c>
      <c r="I43" s="522">
        <f t="shared" si="35"/>
        <v>21132.1</v>
      </c>
      <c r="J43" s="456">
        <f t="shared" si="35"/>
        <v>23053.2</v>
      </c>
      <c r="K43" s="522">
        <f t="shared" si="35"/>
        <v>23053.2</v>
      </c>
      <c r="L43" s="456">
        <f t="shared" si="35"/>
        <v>22095.6</v>
      </c>
      <c r="M43" s="456" t="e">
        <f t="shared" si="35"/>
        <v>#REF!</v>
      </c>
      <c r="N43" s="456">
        <f t="shared" si="2"/>
        <v>95.84612982145644</v>
      </c>
      <c r="O43" s="459">
        <f t="shared" si="16"/>
        <v>104.55941435067977</v>
      </c>
      <c r="P43" s="456">
        <f t="shared" si="17"/>
        <v>95.84612982145644</v>
      </c>
      <c r="Q43" s="459">
        <f t="shared" si="5"/>
        <v>963.5</v>
      </c>
      <c r="R43" s="459">
        <f t="shared" si="6"/>
        <v>-957.6000000000022</v>
      </c>
      <c r="S43" s="460">
        <f t="shared" si="33"/>
        <v>1.367808814305697</v>
      </c>
      <c r="T43" s="461">
        <f t="shared" si="34"/>
        <v>0</v>
      </c>
      <c r="U43" s="461">
        <f t="shared" si="21"/>
        <v>0</v>
      </c>
      <c r="V43" s="461">
        <f t="shared" si="22"/>
        <v>0</v>
      </c>
      <c r="W43" s="462">
        <f t="shared" si="10"/>
        <v>0</v>
      </c>
      <c r="X43" s="461">
        <f t="shared" si="11"/>
        <v>0</v>
      </c>
    </row>
    <row r="44" spans="1:24" s="568" customFormat="1" ht="47.25">
      <c r="A44" s="464" t="s">
        <v>294</v>
      </c>
      <c r="B44" s="458">
        <v>22010300</v>
      </c>
      <c r="C44" s="456">
        <v>671.3</v>
      </c>
      <c r="D44" s="456">
        <v>671.3</v>
      </c>
      <c r="E44" s="459">
        <f t="shared" si="13"/>
        <v>188</v>
      </c>
      <c r="F44" s="459">
        <f t="shared" si="0"/>
        <v>128.0053627290332</v>
      </c>
      <c r="G44" s="456">
        <v>710</v>
      </c>
      <c r="H44" s="456">
        <f>ROUND(G44*$T$6,1)</f>
        <v>650.8</v>
      </c>
      <c r="I44" s="524">
        <f>ROUND((G44*$T$7+G44*$T$8),1)</f>
        <v>650.8</v>
      </c>
      <c r="J44" s="456">
        <v>710</v>
      </c>
      <c r="K44" s="522">
        <v>710</v>
      </c>
      <c r="L44" s="456">
        <v>859.3</v>
      </c>
      <c r="M44" s="456" t="e">
        <f>L44-#REF!</f>
        <v>#REF!</v>
      </c>
      <c r="N44" s="456">
        <f t="shared" si="2"/>
        <v>121.02816901408451</v>
      </c>
      <c r="O44" s="459">
        <f t="shared" si="16"/>
        <v>132.03749231714812</v>
      </c>
      <c r="P44" s="456">
        <f t="shared" si="17"/>
        <v>121.02816901408451</v>
      </c>
      <c r="Q44" s="459">
        <f t="shared" si="5"/>
        <v>208.5</v>
      </c>
      <c r="R44" s="459">
        <f t="shared" si="6"/>
        <v>149.29999999999995</v>
      </c>
      <c r="S44" s="460">
        <f t="shared" si="33"/>
        <v>0.05319421577747993</v>
      </c>
      <c r="T44" s="461">
        <f t="shared" si="34"/>
        <v>0</v>
      </c>
      <c r="U44" s="461">
        <f t="shared" si="21"/>
        <v>0</v>
      </c>
      <c r="V44" s="461">
        <f t="shared" si="22"/>
        <v>0</v>
      </c>
      <c r="W44" s="462">
        <f t="shared" si="10"/>
        <v>0</v>
      </c>
      <c r="X44" s="461">
        <f t="shared" si="11"/>
        <v>0</v>
      </c>
    </row>
    <row r="45" spans="1:24" s="576" customFormat="1" ht="31.5">
      <c r="A45" s="569" t="s">
        <v>142</v>
      </c>
      <c r="B45" s="570" t="s">
        <v>143</v>
      </c>
      <c r="C45" s="472">
        <v>15358.4</v>
      </c>
      <c r="D45" s="472">
        <v>15358.5</v>
      </c>
      <c r="E45" s="459">
        <f t="shared" si="13"/>
        <v>3854</v>
      </c>
      <c r="F45" s="459">
        <f t="shared" si="0"/>
        <v>125.0935963798548</v>
      </c>
      <c r="G45" s="472">
        <f>18000+2565.8</f>
        <v>20565.8</v>
      </c>
      <c r="H45" s="472">
        <f>ROUND(G45*$T$6,1)</f>
        <v>18852</v>
      </c>
      <c r="I45" s="525">
        <f>ROUND((G45*$T$7+G45*$T$8),1)</f>
        <v>18852</v>
      </c>
      <c r="J45" s="472">
        <v>20565.8</v>
      </c>
      <c r="K45" s="523">
        <v>20565.8</v>
      </c>
      <c r="L45" s="472">
        <v>19212.5</v>
      </c>
      <c r="M45" s="456" t="e">
        <f>L45-#REF!</f>
        <v>#REF!</v>
      </c>
      <c r="N45" s="472">
        <f>L45/G45*100</f>
        <v>93.41965787861402</v>
      </c>
      <c r="O45" s="459">
        <f t="shared" si="16"/>
        <v>101.91226395077446</v>
      </c>
      <c r="P45" s="472">
        <f t="shared" si="17"/>
        <v>93.41965787861402</v>
      </c>
      <c r="Q45" s="459">
        <f t="shared" si="5"/>
        <v>360.5</v>
      </c>
      <c r="R45" s="459">
        <f t="shared" si="6"/>
        <v>-1353.2999999999993</v>
      </c>
      <c r="S45" s="460">
        <f t="shared" si="33"/>
        <v>1.1893330276094882</v>
      </c>
      <c r="T45" s="461">
        <f t="shared" si="34"/>
        <v>0</v>
      </c>
      <c r="U45" s="461">
        <f t="shared" si="21"/>
        <v>0</v>
      </c>
      <c r="V45" s="461">
        <f t="shared" si="22"/>
        <v>0</v>
      </c>
      <c r="W45" s="462">
        <f t="shared" si="10"/>
        <v>0</v>
      </c>
      <c r="X45" s="461">
        <f t="shared" si="11"/>
        <v>0</v>
      </c>
    </row>
    <row r="46" spans="1:24" s="576" customFormat="1" ht="47.25">
      <c r="A46" s="569" t="s">
        <v>163</v>
      </c>
      <c r="B46" s="570">
        <v>22012600</v>
      </c>
      <c r="C46" s="472">
        <v>1056</v>
      </c>
      <c r="D46" s="472">
        <v>1056</v>
      </c>
      <c r="E46" s="459">
        <f t="shared" si="13"/>
        <v>855.8</v>
      </c>
      <c r="F46" s="459">
        <f t="shared" si="0"/>
        <v>181.04166666666666</v>
      </c>
      <c r="G46" s="472">
        <f>1100+70+517.4</f>
        <v>1687.4</v>
      </c>
      <c r="H46" s="472">
        <f>ROUND(G46*$T$6,1)</f>
        <v>1546.8</v>
      </c>
      <c r="I46" s="525">
        <f>ROUND((G46*$T$7+G46*$T$8),1)</f>
        <v>1546.8</v>
      </c>
      <c r="J46" s="472">
        <v>1687.4</v>
      </c>
      <c r="K46" s="523">
        <v>1687.4</v>
      </c>
      <c r="L46" s="472">
        <v>1911.8</v>
      </c>
      <c r="M46" s="456" t="e">
        <f>L46-#REF!</f>
        <v>#REF!</v>
      </c>
      <c r="N46" s="472">
        <f>L46/G46*100</f>
        <v>113.29856584093872</v>
      </c>
      <c r="O46" s="459">
        <f t="shared" si="16"/>
        <v>123.59710369795707</v>
      </c>
      <c r="P46" s="472">
        <f t="shared" si="17"/>
        <v>113.29856584093872</v>
      </c>
      <c r="Q46" s="459">
        <f t="shared" si="5"/>
        <v>365</v>
      </c>
      <c r="R46" s="459">
        <f t="shared" si="6"/>
        <v>224.39999999999986</v>
      </c>
      <c r="S46" s="460">
        <f t="shared" si="33"/>
        <v>0.11834830876688715</v>
      </c>
      <c r="T46" s="461">
        <f t="shared" si="34"/>
        <v>0</v>
      </c>
      <c r="U46" s="461">
        <f t="shared" si="21"/>
        <v>0</v>
      </c>
      <c r="V46" s="461">
        <f t="shared" si="22"/>
        <v>0</v>
      </c>
      <c r="W46" s="462">
        <f t="shared" si="10"/>
        <v>0</v>
      </c>
      <c r="X46" s="461">
        <f t="shared" si="11"/>
        <v>0</v>
      </c>
    </row>
    <row r="47" spans="1:24" s="576" customFormat="1" ht="126">
      <c r="A47" s="569" t="s">
        <v>295</v>
      </c>
      <c r="B47" s="570">
        <v>22012900</v>
      </c>
      <c r="C47" s="472">
        <v>49</v>
      </c>
      <c r="D47" s="472">
        <v>49</v>
      </c>
      <c r="E47" s="459">
        <f t="shared" si="13"/>
        <v>63</v>
      </c>
      <c r="F47" s="459">
        <f t="shared" si="0"/>
        <v>228.57142857142856</v>
      </c>
      <c r="G47" s="472">
        <f>43+47</f>
        <v>90</v>
      </c>
      <c r="H47" s="472">
        <f>ROUND(G47*$T$6,1)</f>
        <v>82.5</v>
      </c>
      <c r="I47" s="524">
        <f>ROUND((G47*$T$7+G47*$T$8),1)</f>
        <v>82.5</v>
      </c>
      <c r="J47" s="472">
        <v>90</v>
      </c>
      <c r="K47" s="523">
        <v>90</v>
      </c>
      <c r="L47" s="472">
        <v>112</v>
      </c>
      <c r="M47" s="456" t="e">
        <f>L47-#REF!</f>
        <v>#REF!</v>
      </c>
      <c r="N47" s="472">
        <f>L47/G47*100</f>
        <v>124.44444444444444</v>
      </c>
      <c r="O47" s="459">
        <f t="shared" si="16"/>
        <v>135.75757575757578</v>
      </c>
      <c r="P47" s="472">
        <f t="shared" si="17"/>
        <v>124.44444444444444</v>
      </c>
      <c r="Q47" s="459">
        <f t="shared" si="5"/>
        <v>29.5</v>
      </c>
      <c r="R47" s="459">
        <f t="shared" si="6"/>
        <v>22</v>
      </c>
      <c r="S47" s="460">
        <f t="shared" si="33"/>
        <v>0.00693326215184191</v>
      </c>
      <c r="T47" s="461">
        <f t="shared" si="34"/>
        <v>0</v>
      </c>
      <c r="U47" s="461">
        <f t="shared" si="21"/>
        <v>0</v>
      </c>
      <c r="V47" s="461">
        <f t="shared" si="22"/>
        <v>0</v>
      </c>
      <c r="W47" s="462">
        <f t="shared" si="10"/>
        <v>0</v>
      </c>
      <c r="X47" s="461">
        <f t="shared" si="11"/>
        <v>0</v>
      </c>
    </row>
    <row r="48" spans="1:24" s="568" customFormat="1" ht="47.25">
      <c r="A48" s="464" t="s">
        <v>86</v>
      </c>
      <c r="B48" s="458">
        <v>22080000</v>
      </c>
      <c r="C48" s="456">
        <f>C49</f>
        <v>20434</v>
      </c>
      <c r="D48" s="456">
        <f>D49</f>
        <v>20434</v>
      </c>
      <c r="E48" s="459">
        <f t="shared" si="13"/>
        <v>1234.2999999999993</v>
      </c>
      <c r="F48" s="459">
        <f t="shared" si="0"/>
        <v>106.04042282470391</v>
      </c>
      <c r="G48" s="456">
        <f aca="true" t="shared" si="36" ref="G48:M48">G49</f>
        <v>20000</v>
      </c>
      <c r="H48" s="456">
        <f t="shared" si="36"/>
        <v>18333.3</v>
      </c>
      <c r="I48" s="522">
        <f t="shared" si="36"/>
        <v>18333.3</v>
      </c>
      <c r="J48" s="456">
        <f t="shared" si="36"/>
        <v>20000</v>
      </c>
      <c r="K48" s="522">
        <f t="shared" si="36"/>
        <v>20000</v>
      </c>
      <c r="L48" s="456">
        <f t="shared" si="36"/>
        <v>21668.3</v>
      </c>
      <c r="M48" s="456" t="e">
        <f t="shared" si="36"/>
        <v>#REF!</v>
      </c>
      <c r="N48" s="456">
        <f aca="true" t="shared" si="37" ref="N48:N100">L48/G48*100</f>
        <v>108.3415</v>
      </c>
      <c r="O48" s="459">
        <f t="shared" si="16"/>
        <v>118.1909421653494</v>
      </c>
      <c r="P48" s="456">
        <f t="shared" si="17"/>
        <v>108.3415</v>
      </c>
      <c r="Q48" s="459">
        <f t="shared" si="5"/>
        <v>3335</v>
      </c>
      <c r="R48" s="459">
        <f t="shared" si="6"/>
        <v>1668.2999999999993</v>
      </c>
      <c r="S48" s="460">
        <f t="shared" si="33"/>
        <v>1.3413571811138931</v>
      </c>
      <c r="T48" s="461">
        <f t="shared" si="34"/>
        <v>0</v>
      </c>
      <c r="U48" s="461">
        <f t="shared" si="21"/>
        <v>0</v>
      </c>
      <c r="V48" s="461">
        <f t="shared" si="22"/>
        <v>0</v>
      </c>
      <c r="W48" s="462">
        <f t="shared" si="10"/>
        <v>0</v>
      </c>
      <c r="X48" s="461">
        <f t="shared" si="11"/>
        <v>0</v>
      </c>
    </row>
    <row r="49" spans="1:24" s="581" customFormat="1" ht="63">
      <c r="A49" s="569" t="s">
        <v>87</v>
      </c>
      <c r="B49" s="570">
        <v>22080401</v>
      </c>
      <c r="C49" s="472">
        <v>20434</v>
      </c>
      <c r="D49" s="456">
        <v>20434</v>
      </c>
      <c r="E49" s="459">
        <f t="shared" si="13"/>
        <v>1234.2999999999993</v>
      </c>
      <c r="F49" s="459">
        <f t="shared" si="0"/>
        <v>106.04042282470391</v>
      </c>
      <c r="G49" s="472">
        <v>20000</v>
      </c>
      <c r="H49" s="456">
        <f>ROUND(G49*$T$6,1)</f>
        <v>18333.3</v>
      </c>
      <c r="I49" s="525">
        <f>ROUND((G49*$T$7+G49*$T$8),1)</f>
        <v>18333.3</v>
      </c>
      <c r="J49" s="472">
        <v>20000</v>
      </c>
      <c r="K49" s="523">
        <v>20000</v>
      </c>
      <c r="L49" s="472">
        <v>21668.3</v>
      </c>
      <c r="M49" s="456" t="e">
        <f>L49-#REF!</f>
        <v>#REF!</v>
      </c>
      <c r="N49" s="529">
        <f t="shared" si="37"/>
        <v>108.3415</v>
      </c>
      <c r="O49" s="459">
        <f t="shared" si="16"/>
        <v>118.1909421653494</v>
      </c>
      <c r="P49" s="529">
        <f t="shared" si="17"/>
        <v>108.3415</v>
      </c>
      <c r="Q49" s="459">
        <f t="shared" si="5"/>
        <v>3335</v>
      </c>
      <c r="R49" s="459">
        <f t="shared" si="6"/>
        <v>1668.2999999999993</v>
      </c>
      <c r="S49" s="460">
        <f t="shared" si="33"/>
        <v>1.3413571811138931</v>
      </c>
      <c r="T49" s="461">
        <f t="shared" si="34"/>
        <v>0</v>
      </c>
      <c r="U49" s="461">
        <f t="shared" si="21"/>
        <v>0</v>
      </c>
      <c r="V49" s="461">
        <f t="shared" si="22"/>
        <v>0</v>
      </c>
      <c r="W49" s="462">
        <f t="shared" si="10"/>
        <v>0</v>
      </c>
      <c r="X49" s="461">
        <f t="shared" si="11"/>
        <v>0</v>
      </c>
    </row>
    <row r="50" spans="1:24" s="568" customFormat="1" ht="22.5" customHeight="1">
      <c r="A50" s="577" t="s">
        <v>88</v>
      </c>
      <c r="B50" s="458">
        <v>22090000</v>
      </c>
      <c r="C50" s="456">
        <v>462.8</v>
      </c>
      <c r="D50" s="456">
        <v>462.8</v>
      </c>
      <c r="E50" s="459">
        <f t="shared" si="13"/>
        <v>71.09999999999997</v>
      </c>
      <c r="F50" s="459">
        <f t="shared" si="0"/>
        <v>115.36300777873811</v>
      </c>
      <c r="G50" s="456">
        <v>460</v>
      </c>
      <c r="H50" s="456">
        <f>ROUND(G50*$T$6,1)</f>
        <v>421.7</v>
      </c>
      <c r="I50" s="524">
        <f>ROUND((G50*$T$7+G50*$T$8),1)</f>
        <v>421.7</v>
      </c>
      <c r="J50" s="456">
        <v>460</v>
      </c>
      <c r="K50" s="522">
        <v>460</v>
      </c>
      <c r="L50" s="456">
        <v>533.9</v>
      </c>
      <c r="M50" s="456" t="e">
        <f>L50-#REF!</f>
        <v>#REF!</v>
      </c>
      <c r="N50" s="459">
        <f t="shared" si="37"/>
        <v>116.06521739130436</v>
      </c>
      <c r="O50" s="459">
        <f t="shared" si="16"/>
        <v>126.60659236423999</v>
      </c>
      <c r="P50" s="459">
        <f t="shared" si="17"/>
        <v>116.06521739130436</v>
      </c>
      <c r="Q50" s="459">
        <f t="shared" si="5"/>
        <v>112.19999999999999</v>
      </c>
      <c r="R50" s="459">
        <f t="shared" si="6"/>
        <v>73.89999999999998</v>
      </c>
      <c r="S50" s="460">
        <f t="shared" si="33"/>
        <v>0.03305061306132495</v>
      </c>
      <c r="T50" s="461">
        <f t="shared" si="34"/>
        <v>0</v>
      </c>
      <c r="U50" s="461">
        <f t="shared" si="21"/>
        <v>0</v>
      </c>
      <c r="V50" s="461">
        <f t="shared" si="22"/>
        <v>0</v>
      </c>
      <c r="W50" s="462">
        <f t="shared" si="10"/>
        <v>0</v>
      </c>
      <c r="X50" s="461">
        <f t="shared" si="11"/>
        <v>0</v>
      </c>
    </row>
    <row r="51" spans="1:24" s="574" customFormat="1" ht="21" customHeight="1">
      <c r="A51" s="578" t="s">
        <v>89</v>
      </c>
      <c r="B51" s="573">
        <v>24000000</v>
      </c>
      <c r="C51" s="483">
        <f>SUM(C52:C56)</f>
        <v>3148.2000000000003</v>
      </c>
      <c r="D51" s="483">
        <f>SUM(D52:D56)</f>
        <v>3148.3</v>
      </c>
      <c r="E51" s="484">
        <f t="shared" si="13"/>
        <v>827.5999999999995</v>
      </c>
      <c r="F51" s="484">
        <f t="shared" si="0"/>
        <v>126.2872026172855</v>
      </c>
      <c r="G51" s="483">
        <f aca="true" t="shared" si="38" ref="G51:M51">SUM(G52:G56)</f>
        <v>2655.1000000000004</v>
      </c>
      <c r="H51" s="483">
        <f t="shared" si="38"/>
        <v>2433.7999999999997</v>
      </c>
      <c r="I51" s="473">
        <f t="shared" si="38"/>
        <v>2433.7999999999997</v>
      </c>
      <c r="J51" s="483">
        <f t="shared" si="38"/>
        <v>2655.0000000000005</v>
      </c>
      <c r="K51" s="473">
        <f t="shared" si="38"/>
        <v>2655.0000000000005</v>
      </c>
      <c r="L51" s="483">
        <f t="shared" si="38"/>
        <v>3975.8999999999996</v>
      </c>
      <c r="M51" s="483" t="e">
        <f t="shared" si="38"/>
        <v>#REF!</v>
      </c>
      <c r="N51" s="483">
        <f t="shared" si="37"/>
        <v>149.74577228729612</v>
      </c>
      <c r="O51" s="484">
        <f t="shared" si="16"/>
        <v>163.36182102062617</v>
      </c>
      <c r="P51" s="483">
        <f t="shared" si="17"/>
        <v>149.7514124293785</v>
      </c>
      <c r="Q51" s="484">
        <f t="shared" si="5"/>
        <v>1542.1</v>
      </c>
      <c r="R51" s="484">
        <f t="shared" si="6"/>
        <v>1320.8999999999992</v>
      </c>
      <c r="S51" s="460">
        <f t="shared" si="33"/>
        <v>0.24612461597775218</v>
      </c>
      <c r="T51" s="461">
        <f t="shared" si="34"/>
        <v>0</v>
      </c>
      <c r="U51" s="461">
        <f t="shared" si="21"/>
        <v>0</v>
      </c>
      <c r="V51" s="461">
        <f t="shared" si="22"/>
        <v>0</v>
      </c>
      <c r="W51" s="462">
        <f t="shared" si="10"/>
        <v>0</v>
      </c>
      <c r="X51" s="461">
        <f t="shared" si="11"/>
        <v>0</v>
      </c>
    </row>
    <row r="52" spans="1:24" s="568" customFormat="1" ht="63">
      <c r="A52" s="575" t="s">
        <v>90</v>
      </c>
      <c r="B52" s="458">
        <v>24030000</v>
      </c>
      <c r="C52" s="456">
        <v>0.4</v>
      </c>
      <c r="D52" s="456">
        <v>0.4</v>
      </c>
      <c r="E52" s="459">
        <f t="shared" si="13"/>
        <v>4.3</v>
      </c>
      <c r="F52" s="459">
        <f t="shared" si="0"/>
        <v>1175</v>
      </c>
      <c r="G52" s="456">
        <v>1.9</v>
      </c>
      <c r="H52" s="456">
        <f>ROUND(G52*$T$6,1)</f>
        <v>1.7</v>
      </c>
      <c r="I52" s="524">
        <f>ROUND((G52*$T$7+G52*$T$8),1)</f>
        <v>1.7</v>
      </c>
      <c r="J52" s="456">
        <v>1.9</v>
      </c>
      <c r="K52" s="522">
        <v>1.9</v>
      </c>
      <c r="L52" s="456">
        <v>4.7</v>
      </c>
      <c r="M52" s="456" t="e">
        <f>L52-#REF!</f>
        <v>#REF!</v>
      </c>
      <c r="N52" s="459">
        <f t="shared" si="37"/>
        <v>247.3684210526316</v>
      </c>
      <c r="O52" s="459">
        <f t="shared" si="16"/>
        <v>276.47058823529414</v>
      </c>
      <c r="P52" s="459">
        <f t="shared" si="17"/>
        <v>247.3684210526316</v>
      </c>
      <c r="Q52" s="459">
        <f t="shared" si="5"/>
        <v>3</v>
      </c>
      <c r="R52" s="459">
        <f t="shared" si="6"/>
        <v>2.8000000000000003</v>
      </c>
      <c r="S52" s="460">
        <f t="shared" si="33"/>
        <v>0.00029094939387193727</v>
      </c>
      <c r="T52" s="461">
        <f t="shared" si="34"/>
        <v>0</v>
      </c>
      <c r="U52" s="461">
        <f t="shared" si="21"/>
        <v>0</v>
      </c>
      <c r="V52" s="461">
        <f t="shared" si="22"/>
        <v>0</v>
      </c>
      <c r="W52" s="598">
        <f t="shared" si="10"/>
        <v>0</v>
      </c>
      <c r="X52" s="461">
        <f t="shared" si="11"/>
        <v>0</v>
      </c>
    </row>
    <row r="53" spans="1:24" s="585" customFormat="1" ht="18.75" customHeight="1">
      <c r="A53" s="575" t="s">
        <v>80</v>
      </c>
      <c r="B53" s="458">
        <v>24060300</v>
      </c>
      <c r="C53" s="456">
        <v>3032.9</v>
      </c>
      <c r="D53" s="456">
        <v>3033</v>
      </c>
      <c r="E53" s="459">
        <f t="shared" si="13"/>
        <v>836.5999999999999</v>
      </c>
      <c r="F53" s="459">
        <f t="shared" si="0"/>
        <v>127.58325090669305</v>
      </c>
      <c r="G53" s="456">
        <v>2600</v>
      </c>
      <c r="H53" s="456">
        <f>ROUND(G53*$T$6,1)+0.1</f>
        <v>2383.4</v>
      </c>
      <c r="I53" s="524">
        <f>ROUND((G53*$T$7+G53*$T$8),1)+0.1</f>
        <v>2383.4</v>
      </c>
      <c r="J53" s="456">
        <v>2599.9</v>
      </c>
      <c r="K53" s="522">
        <v>2599.9</v>
      </c>
      <c r="L53" s="456">
        <v>3869.6</v>
      </c>
      <c r="M53" s="456" t="e">
        <f>L53-#REF!</f>
        <v>#REF!</v>
      </c>
      <c r="N53" s="459">
        <f t="shared" si="37"/>
        <v>148.83076923076922</v>
      </c>
      <c r="O53" s="459">
        <f t="shared" si="16"/>
        <v>162.3562977259377</v>
      </c>
      <c r="P53" s="459">
        <f t="shared" si="17"/>
        <v>148.83649371129655</v>
      </c>
      <c r="Q53" s="459">
        <f t="shared" si="5"/>
        <v>1486.1999999999998</v>
      </c>
      <c r="R53" s="459">
        <f t="shared" si="6"/>
        <v>1269.6999999999998</v>
      </c>
      <c r="S53" s="460">
        <f t="shared" si="33"/>
        <v>0.23954420734613796</v>
      </c>
      <c r="T53" s="461">
        <f t="shared" si="34"/>
        <v>0</v>
      </c>
      <c r="U53" s="461">
        <f t="shared" si="21"/>
        <v>0</v>
      </c>
      <c r="V53" s="461">
        <f t="shared" si="22"/>
        <v>0</v>
      </c>
      <c r="W53" s="462">
        <f t="shared" si="10"/>
        <v>0</v>
      </c>
      <c r="X53" s="461">
        <f t="shared" si="11"/>
        <v>0</v>
      </c>
    </row>
    <row r="54" spans="1:24" s="585" customFormat="1" ht="36.75" customHeight="1">
      <c r="A54" s="575" t="s">
        <v>160</v>
      </c>
      <c r="B54" s="458">
        <v>24060600</v>
      </c>
      <c r="C54" s="456">
        <v>0.6</v>
      </c>
      <c r="D54" s="456">
        <v>0.6</v>
      </c>
      <c r="E54" s="459">
        <f t="shared" si="13"/>
        <v>-0.6</v>
      </c>
      <c r="F54" s="465">
        <f t="shared" si="0"/>
        <v>0</v>
      </c>
      <c r="G54" s="456"/>
      <c r="H54" s="456"/>
      <c r="I54" s="522">
        <f>G54/12*6+G54/12*18/22</f>
        <v>0</v>
      </c>
      <c r="J54" s="456"/>
      <c r="K54" s="522"/>
      <c r="L54" s="456">
        <v>0</v>
      </c>
      <c r="M54" s="456" t="e">
        <f>L54-#REF!</f>
        <v>#REF!</v>
      </c>
      <c r="N54" s="530" t="e">
        <f t="shared" si="37"/>
        <v>#DIV/0!</v>
      </c>
      <c r="O54" s="530" t="e">
        <f t="shared" si="16"/>
        <v>#DIV/0!</v>
      </c>
      <c r="P54" s="530" t="e">
        <f t="shared" si="17"/>
        <v>#DIV/0!</v>
      </c>
      <c r="Q54" s="459">
        <f t="shared" si="5"/>
        <v>0</v>
      </c>
      <c r="R54" s="459">
        <f t="shared" si="6"/>
        <v>0</v>
      </c>
      <c r="S54" s="460">
        <f t="shared" si="33"/>
        <v>0</v>
      </c>
      <c r="T54" s="461">
        <f t="shared" si="34"/>
        <v>0</v>
      </c>
      <c r="U54" s="461" t="e">
        <f t="shared" si="21"/>
        <v>#DIV/0!</v>
      </c>
      <c r="V54" s="461" t="e">
        <f t="shared" si="22"/>
        <v>#DIV/0!</v>
      </c>
      <c r="W54" s="462">
        <f t="shared" si="10"/>
        <v>0</v>
      </c>
      <c r="X54" s="461">
        <f t="shared" si="11"/>
        <v>0</v>
      </c>
    </row>
    <row r="55" spans="1:24" s="585" customFormat="1" ht="78.75">
      <c r="A55" s="575" t="s">
        <v>19</v>
      </c>
      <c r="B55" s="458">
        <v>24061900</v>
      </c>
      <c r="C55" s="456"/>
      <c r="D55" s="456">
        <v>0</v>
      </c>
      <c r="E55" s="459">
        <f>L55-D55</f>
        <v>52.4</v>
      </c>
      <c r="F55" s="459"/>
      <c r="G55" s="456">
        <v>52.4</v>
      </c>
      <c r="H55" s="456">
        <f>ROUND(G55*$T$6,1)</f>
        <v>48</v>
      </c>
      <c r="I55" s="524">
        <f>ROUND((G55*$T$7+G55*$T$8),1)</f>
        <v>48</v>
      </c>
      <c r="J55" s="456">
        <v>52.4</v>
      </c>
      <c r="K55" s="522">
        <v>52.4</v>
      </c>
      <c r="L55" s="456">
        <v>52.4</v>
      </c>
      <c r="M55" s="456" t="e">
        <f>L55-#REF!</f>
        <v>#REF!</v>
      </c>
      <c r="N55" s="459"/>
      <c r="O55" s="459">
        <f>L55/I55*100</f>
        <v>109.16666666666666</v>
      </c>
      <c r="P55" s="459">
        <f>L55/K55*100</f>
        <v>100</v>
      </c>
      <c r="Q55" s="459">
        <f>L55-I55</f>
        <v>4.399999999999999</v>
      </c>
      <c r="R55" s="459">
        <f>L55-K55</f>
        <v>0</v>
      </c>
      <c r="S55" s="460"/>
      <c r="T55" s="461"/>
      <c r="U55" s="461"/>
      <c r="V55" s="461"/>
      <c r="W55" s="598"/>
      <c r="X55" s="461"/>
    </row>
    <row r="56" spans="1:24" s="585" customFormat="1" ht="173.25">
      <c r="A56" s="575" t="s">
        <v>223</v>
      </c>
      <c r="B56" s="458">
        <v>24062200</v>
      </c>
      <c r="C56" s="456">
        <v>114.3</v>
      </c>
      <c r="D56" s="456">
        <v>114.3</v>
      </c>
      <c r="E56" s="459">
        <f t="shared" si="13"/>
        <v>-65.1</v>
      </c>
      <c r="F56" s="459">
        <f t="shared" si="0"/>
        <v>43.04461942257218</v>
      </c>
      <c r="G56" s="456">
        <v>0.8</v>
      </c>
      <c r="H56" s="456">
        <f>ROUND(G56*$T$6,1)</f>
        <v>0.7</v>
      </c>
      <c r="I56" s="522">
        <f>ROUND((G56*$T$7+G56*$T$8),1)</f>
        <v>0.7</v>
      </c>
      <c r="J56" s="456">
        <v>0.8</v>
      </c>
      <c r="K56" s="522">
        <v>0.8</v>
      </c>
      <c r="L56" s="456">
        <v>49.2</v>
      </c>
      <c r="M56" s="456" t="e">
        <f>L56-#REF!</f>
        <v>#REF!</v>
      </c>
      <c r="N56" s="459">
        <f t="shared" si="37"/>
        <v>6150</v>
      </c>
      <c r="O56" s="459">
        <f t="shared" si="16"/>
        <v>7028.571428571429</v>
      </c>
      <c r="P56" s="459">
        <f t="shared" si="17"/>
        <v>6150</v>
      </c>
      <c r="Q56" s="459">
        <f t="shared" si="5"/>
        <v>48.5</v>
      </c>
      <c r="R56" s="459">
        <f t="shared" si="6"/>
        <v>48.400000000000006</v>
      </c>
      <c r="S56" s="460">
        <f aca="true" t="shared" si="39" ref="S56:S62">L56/$L$62*100</f>
        <v>0.0030456830167019814</v>
      </c>
      <c r="T56" s="461">
        <f t="shared" si="34"/>
        <v>0</v>
      </c>
      <c r="U56" s="461">
        <f t="shared" si="21"/>
        <v>0</v>
      </c>
      <c r="V56" s="461">
        <f t="shared" si="22"/>
        <v>0</v>
      </c>
      <c r="W56" s="598">
        <f t="shared" si="10"/>
        <v>0</v>
      </c>
      <c r="X56" s="461">
        <f t="shared" si="11"/>
        <v>0</v>
      </c>
    </row>
    <row r="57" spans="1:24" s="588" customFormat="1" ht="18.75" customHeight="1">
      <c r="A57" s="586" t="s">
        <v>92</v>
      </c>
      <c r="B57" s="587">
        <v>30000000</v>
      </c>
      <c r="C57" s="483">
        <f>C58</f>
        <v>8.1</v>
      </c>
      <c r="D57" s="483">
        <f>D58</f>
        <v>8.1</v>
      </c>
      <c r="E57" s="484">
        <f t="shared" si="13"/>
        <v>-4.199999999999999</v>
      </c>
      <c r="F57" s="484">
        <f t="shared" si="0"/>
        <v>48.14814814814815</v>
      </c>
      <c r="G57" s="483">
        <f aca="true" t="shared" si="40" ref="G57:M57">G58</f>
        <v>20</v>
      </c>
      <c r="H57" s="483">
        <f t="shared" si="40"/>
        <v>18.4</v>
      </c>
      <c r="I57" s="473">
        <f t="shared" si="40"/>
        <v>18.4</v>
      </c>
      <c r="J57" s="483">
        <f t="shared" si="40"/>
        <v>20</v>
      </c>
      <c r="K57" s="473">
        <f t="shared" si="40"/>
        <v>20</v>
      </c>
      <c r="L57" s="483">
        <f t="shared" si="40"/>
        <v>3.9</v>
      </c>
      <c r="M57" s="483" t="e">
        <f t="shared" si="40"/>
        <v>#REF!</v>
      </c>
      <c r="N57" s="484">
        <f t="shared" si="37"/>
        <v>19.5</v>
      </c>
      <c r="O57" s="484">
        <f t="shared" si="16"/>
        <v>21.195652173913047</v>
      </c>
      <c r="P57" s="484">
        <f t="shared" si="17"/>
        <v>19.5</v>
      </c>
      <c r="Q57" s="484">
        <f t="shared" si="5"/>
        <v>-14.499999999999998</v>
      </c>
      <c r="R57" s="484">
        <f t="shared" si="6"/>
        <v>-16.1</v>
      </c>
      <c r="S57" s="460">
        <f t="shared" si="39"/>
        <v>0.0002414260927873522</v>
      </c>
      <c r="T57" s="461">
        <f t="shared" si="34"/>
        <v>0</v>
      </c>
      <c r="U57" s="461">
        <f t="shared" si="21"/>
        <v>0</v>
      </c>
      <c r="V57" s="461">
        <f t="shared" si="22"/>
        <v>0</v>
      </c>
      <c r="W57" s="462">
        <f t="shared" si="10"/>
        <v>0</v>
      </c>
      <c r="X57" s="461">
        <f t="shared" si="11"/>
        <v>0</v>
      </c>
    </row>
    <row r="58" spans="1:24" s="588" customFormat="1" ht="31.5">
      <c r="A58" s="589" t="s">
        <v>93</v>
      </c>
      <c r="B58" s="590">
        <v>31000000</v>
      </c>
      <c r="C58" s="483">
        <f>C61+C60</f>
        <v>8.1</v>
      </c>
      <c r="D58" s="483">
        <f>D61+D60</f>
        <v>8.1</v>
      </c>
      <c r="E58" s="484">
        <f t="shared" si="13"/>
        <v>-4.199999999999999</v>
      </c>
      <c r="F58" s="484">
        <f t="shared" si="0"/>
        <v>48.14814814814815</v>
      </c>
      <c r="G58" s="483">
        <f aca="true" t="shared" si="41" ref="G58:M58">G61+G60</f>
        <v>20</v>
      </c>
      <c r="H58" s="483">
        <f t="shared" si="41"/>
        <v>18.4</v>
      </c>
      <c r="I58" s="473">
        <f t="shared" si="41"/>
        <v>18.4</v>
      </c>
      <c r="J58" s="483">
        <f t="shared" si="41"/>
        <v>20</v>
      </c>
      <c r="K58" s="473">
        <f>K61+K60</f>
        <v>20</v>
      </c>
      <c r="L58" s="483">
        <f t="shared" si="41"/>
        <v>3.9</v>
      </c>
      <c r="M58" s="483" t="e">
        <f t="shared" si="41"/>
        <v>#REF!</v>
      </c>
      <c r="N58" s="484">
        <f t="shared" si="37"/>
        <v>19.5</v>
      </c>
      <c r="O58" s="484">
        <f t="shared" si="16"/>
        <v>21.195652173913047</v>
      </c>
      <c r="P58" s="484">
        <f t="shared" si="17"/>
        <v>19.5</v>
      </c>
      <c r="Q58" s="484">
        <f t="shared" si="5"/>
        <v>-14.499999999999998</v>
      </c>
      <c r="R58" s="484">
        <f t="shared" si="6"/>
        <v>-16.1</v>
      </c>
      <c r="S58" s="460">
        <f t="shared" si="39"/>
        <v>0.0002414260927873522</v>
      </c>
      <c r="T58" s="461">
        <f t="shared" si="34"/>
        <v>0</v>
      </c>
      <c r="U58" s="461">
        <f t="shared" si="21"/>
        <v>0</v>
      </c>
      <c r="V58" s="461">
        <f t="shared" si="22"/>
        <v>0</v>
      </c>
      <c r="W58" s="462">
        <f t="shared" si="10"/>
        <v>0</v>
      </c>
      <c r="X58" s="461">
        <f t="shared" si="11"/>
        <v>0</v>
      </c>
    </row>
    <row r="59" spans="1:24" s="592" customFormat="1" ht="94.5">
      <c r="A59" s="591" t="s">
        <v>94</v>
      </c>
      <c r="B59" s="458">
        <v>31010000</v>
      </c>
      <c r="C59" s="456">
        <f>C60</f>
        <v>0.9</v>
      </c>
      <c r="D59" s="456">
        <f>D60</f>
        <v>0.9</v>
      </c>
      <c r="E59" s="459">
        <f t="shared" si="13"/>
        <v>-0.9</v>
      </c>
      <c r="F59" s="459">
        <f t="shared" si="0"/>
        <v>0</v>
      </c>
      <c r="G59" s="456">
        <f aca="true" t="shared" si="42" ref="G59:M59">G60</f>
        <v>15</v>
      </c>
      <c r="H59" s="456">
        <f t="shared" si="42"/>
        <v>13.8</v>
      </c>
      <c r="I59" s="522">
        <f t="shared" si="42"/>
        <v>13.8</v>
      </c>
      <c r="J59" s="456">
        <f t="shared" si="42"/>
        <v>15</v>
      </c>
      <c r="K59" s="522">
        <f t="shared" si="42"/>
        <v>15</v>
      </c>
      <c r="L59" s="456">
        <f t="shared" si="42"/>
        <v>0</v>
      </c>
      <c r="M59" s="456" t="e">
        <f t="shared" si="42"/>
        <v>#REF!</v>
      </c>
      <c r="N59" s="459">
        <f t="shared" si="37"/>
        <v>0</v>
      </c>
      <c r="O59" s="459">
        <f t="shared" si="16"/>
        <v>0</v>
      </c>
      <c r="P59" s="465">
        <f t="shared" si="17"/>
        <v>0</v>
      </c>
      <c r="Q59" s="459">
        <f t="shared" si="5"/>
        <v>-13.8</v>
      </c>
      <c r="R59" s="459">
        <f t="shared" si="6"/>
        <v>-15</v>
      </c>
      <c r="S59" s="460">
        <f t="shared" si="39"/>
        <v>0</v>
      </c>
      <c r="T59" s="461">
        <f t="shared" si="34"/>
        <v>0</v>
      </c>
      <c r="U59" s="461">
        <f t="shared" si="21"/>
        <v>0</v>
      </c>
      <c r="V59" s="461">
        <f t="shared" si="22"/>
        <v>0</v>
      </c>
      <c r="W59" s="462">
        <f t="shared" si="10"/>
        <v>0</v>
      </c>
      <c r="X59" s="461">
        <f t="shared" si="11"/>
        <v>0</v>
      </c>
    </row>
    <row r="60" spans="1:24" s="595" customFormat="1" ht="94.5">
      <c r="A60" s="593" t="s">
        <v>95</v>
      </c>
      <c r="B60" s="594">
        <v>31010200</v>
      </c>
      <c r="C60" s="472">
        <v>0.9</v>
      </c>
      <c r="D60" s="472">
        <v>0.9</v>
      </c>
      <c r="E60" s="459">
        <f t="shared" si="13"/>
        <v>-0.9</v>
      </c>
      <c r="F60" s="459">
        <f t="shared" si="0"/>
        <v>0</v>
      </c>
      <c r="G60" s="472">
        <v>15</v>
      </c>
      <c r="H60" s="472">
        <f>ROUND(G60*$T$6,1)</f>
        <v>13.8</v>
      </c>
      <c r="I60" s="524">
        <f>ROUND((G60*$T$7+G60*$T$8),1)</f>
        <v>13.8</v>
      </c>
      <c r="J60" s="472">
        <v>15</v>
      </c>
      <c r="K60" s="523">
        <v>15</v>
      </c>
      <c r="L60" s="472">
        <v>0</v>
      </c>
      <c r="M60" s="496" t="e">
        <f>L60-#REF!</f>
        <v>#REF!</v>
      </c>
      <c r="N60" s="529">
        <f t="shared" si="37"/>
        <v>0</v>
      </c>
      <c r="O60" s="459">
        <f t="shared" si="16"/>
        <v>0</v>
      </c>
      <c r="P60" s="531">
        <f t="shared" si="17"/>
        <v>0</v>
      </c>
      <c r="Q60" s="459">
        <f t="shared" si="5"/>
        <v>-13.8</v>
      </c>
      <c r="R60" s="459">
        <f t="shared" si="6"/>
        <v>-15</v>
      </c>
      <c r="S60" s="460">
        <f t="shared" si="39"/>
        <v>0</v>
      </c>
      <c r="T60" s="461">
        <f t="shared" si="34"/>
        <v>0</v>
      </c>
      <c r="U60" s="461">
        <f t="shared" si="21"/>
        <v>0</v>
      </c>
      <c r="V60" s="461">
        <f t="shared" si="22"/>
        <v>0</v>
      </c>
      <c r="W60" s="462">
        <f t="shared" si="10"/>
        <v>0</v>
      </c>
      <c r="X60" s="461">
        <f t="shared" si="11"/>
        <v>0</v>
      </c>
    </row>
    <row r="61" spans="1:24" s="592" customFormat="1" ht="31.5">
      <c r="A61" s="591" t="s">
        <v>96</v>
      </c>
      <c r="B61" s="596">
        <v>31020000</v>
      </c>
      <c r="C61" s="456">
        <v>7.2</v>
      </c>
      <c r="D61" s="456">
        <v>7.2</v>
      </c>
      <c r="E61" s="459">
        <f t="shared" si="13"/>
        <v>-3.3000000000000003</v>
      </c>
      <c r="F61" s="459">
        <f t="shared" si="0"/>
        <v>54.166666666666664</v>
      </c>
      <c r="G61" s="456">
        <v>5</v>
      </c>
      <c r="H61" s="456">
        <f>ROUND(G61*$T$6,1)</f>
        <v>4.6</v>
      </c>
      <c r="I61" s="524">
        <f>ROUND((G61*$T$7+G61*$T$8),1)</f>
        <v>4.6</v>
      </c>
      <c r="J61" s="456">
        <v>5</v>
      </c>
      <c r="K61" s="522">
        <v>5</v>
      </c>
      <c r="L61" s="456">
        <v>3.9</v>
      </c>
      <c r="M61" s="456" t="e">
        <f>L61-#REF!</f>
        <v>#REF!</v>
      </c>
      <c r="N61" s="459">
        <f t="shared" si="37"/>
        <v>78</v>
      </c>
      <c r="O61" s="459">
        <f t="shared" si="16"/>
        <v>84.78260869565219</v>
      </c>
      <c r="P61" s="459">
        <f t="shared" si="17"/>
        <v>78</v>
      </c>
      <c r="Q61" s="456">
        <f t="shared" si="5"/>
        <v>-0.6999999999999997</v>
      </c>
      <c r="R61" s="456">
        <f t="shared" si="6"/>
        <v>-1.1</v>
      </c>
      <c r="S61" s="460">
        <f t="shared" si="39"/>
        <v>0.0002414260927873522</v>
      </c>
      <c r="T61" s="461">
        <f t="shared" si="34"/>
        <v>0</v>
      </c>
      <c r="U61" s="461">
        <f t="shared" si="21"/>
        <v>0</v>
      </c>
      <c r="V61" s="461">
        <f t="shared" si="22"/>
        <v>0</v>
      </c>
      <c r="W61" s="462">
        <f t="shared" si="10"/>
        <v>0</v>
      </c>
      <c r="X61" s="461">
        <f t="shared" si="11"/>
        <v>0</v>
      </c>
    </row>
    <row r="62" spans="1:24" s="508" customFormat="1" ht="21" customHeight="1">
      <c r="A62" s="503" t="s">
        <v>97</v>
      </c>
      <c r="B62" s="504"/>
      <c r="C62" s="473">
        <f>C8+C31+C57</f>
        <v>1374374.6</v>
      </c>
      <c r="D62" s="473">
        <f>D8+D31+D57</f>
        <v>1374374.9</v>
      </c>
      <c r="E62" s="473">
        <f t="shared" si="13"/>
        <v>241026.2999999998</v>
      </c>
      <c r="F62" s="473">
        <f t="shared" si="0"/>
        <v>117.53715816550489</v>
      </c>
      <c r="G62" s="473">
        <f aca="true" t="shared" si="43" ref="G62:M62">G8+G31+G57</f>
        <v>1637158.1</v>
      </c>
      <c r="H62" s="473">
        <f t="shared" si="43"/>
        <v>1500728.2999999998</v>
      </c>
      <c r="I62" s="473">
        <f t="shared" si="43"/>
        <v>1500728.2999999998</v>
      </c>
      <c r="J62" s="473">
        <f t="shared" si="43"/>
        <v>1637157.9999999998</v>
      </c>
      <c r="K62" s="473">
        <f t="shared" si="43"/>
        <v>1637157.9999999998</v>
      </c>
      <c r="L62" s="473">
        <f t="shared" si="43"/>
        <v>1615401.1999999997</v>
      </c>
      <c r="M62" s="473" t="e">
        <f t="shared" si="43"/>
        <v>#REF!</v>
      </c>
      <c r="N62" s="473">
        <f t="shared" si="37"/>
        <v>98.67105687593639</v>
      </c>
      <c r="O62" s="486">
        <f t="shared" si="16"/>
        <v>107.64114996698602</v>
      </c>
      <c r="P62" s="473">
        <f t="shared" si="17"/>
        <v>98.67106290290857</v>
      </c>
      <c r="Q62" s="486">
        <f t="shared" si="5"/>
        <v>114672.8999999999</v>
      </c>
      <c r="R62" s="486">
        <f t="shared" si="6"/>
        <v>-21756.800000000047</v>
      </c>
      <c r="S62" s="505">
        <f t="shared" si="39"/>
        <v>100</v>
      </c>
      <c r="T62" s="506">
        <f t="shared" si="34"/>
        <v>0</v>
      </c>
      <c r="U62" s="506">
        <f t="shared" si="21"/>
        <v>0</v>
      </c>
      <c r="V62" s="506">
        <f t="shared" si="22"/>
        <v>0</v>
      </c>
      <c r="W62" s="507">
        <f t="shared" si="10"/>
        <v>0</v>
      </c>
      <c r="X62" s="506">
        <f t="shared" si="11"/>
        <v>0</v>
      </c>
    </row>
    <row r="63" spans="1:24" s="508" customFormat="1" ht="20.25" customHeight="1">
      <c r="A63" s="509" t="s">
        <v>98</v>
      </c>
      <c r="B63" s="504">
        <v>40000000</v>
      </c>
      <c r="C63" s="473">
        <f>C64</f>
        <v>1393975.4</v>
      </c>
      <c r="D63" s="473">
        <f>D64</f>
        <v>1388595.5</v>
      </c>
      <c r="E63" s="473">
        <f t="shared" si="13"/>
        <v>192234.3999999999</v>
      </c>
      <c r="F63" s="473">
        <f t="shared" si="0"/>
        <v>113.84380116455799</v>
      </c>
      <c r="G63" s="473">
        <f aca="true" t="shared" si="44" ref="G63:M63">G64</f>
        <v>1716354.7000000002</v>
      </c>
      <c r="H63" s="473">
        <f t="shared" si="44"/>
        <v>1573325.0999999999</v>
      </c>
      <c r="I63" s="473">
        <f t="shared" si="44"/>
        <v>1573325.0999999999</v>
      </c>
      <c r="J63" s="473">
        <f t="shared" si="44"/>
        <v>1632362.3</v>
      </c>
      <c r="K63" s="473">
        <f t="shared" si="44"/>
        <v>1632362.3</v>
      </c>
      <c r="L63" s="473">
        <f t="shared" si="44"/>
        <v>1580829.9</v>
      </c>
      <c r="M63" s="473" t="e">
        <f t="shared" si="44"/>
        <v>#REF!</v>
      </c>
      <c r="N63" s="473">
        <f t="shared" si="37"/>
        <v>92.10391651562463</v>
      </c>
      <c r="O63" s="486">
        <f t="shared" si="16"/>
        <v>100.47700249617833</v>
      </c>
      <c r="P63" s="473">
        <f t="shared" si="17"/>
        <v>96.8430782798647</v>
      </c>
      <c r="Q63" s="486">
        <f t="shared" si="5"/>
        <v>7504.800000000047</v>
      </c>
      <c r="R63" s="486">
        <f t="shared" si="6"/>
        <v>-51532.40000000014</v>
      </c>
      <c r="S63" s="505">
        <f>L63-I63-Q63</f>
        <v>0</v>
      </c>
      <c r="T63" s="506">
        <f t="shared" si="34"/>
        <v>0</v>
      </c>
      <c r="U63" s="506">
        <f t="shared" si="21"/>
        <v>0</v>
      </c>
      <c r="V63" s="506">
        <f t="shared" si="22"/>
        <v>0</v>
      </c>
      <c r="W63" s="507">
        <f t="shared" si="10"/>
        <v>0</v>
      </c>
      <c r="X63" s="506">
        <f t="shared" si="11"/>
        <v>0</v>
      </c>
    </row>
    <row r="64" spans="1:24" s="508" customFormat="1" ht="22.5" customHeight="1">
      <c r="A64" s="623" t="s">
        <v>99</v>
      </c>
      <c r="B64" s="504">
        <v>41000000</v>
      </c>
      <c r="C64" s="473">
        <f>C72+C70+C65</f>
        <v>1393975.4</v>
      </c>
      <c r="D64" s="473">
        <f>D72+D70+D65</f>
        <v>1388595.5</v>
      </c>
      <c r="E64" s="473">
        <f t="shared" si="13"/>
        <v>192234.3999999999</v>
      </c>
      <c r="F64" s="473">
        <f t="shared" si="0"/>
        <v>113.84380116455799</v>
      </c>
      <c r="G64" s="473">
        <f aca="true" t="shared" si="45" ref="G64:M64">G72+G70+G65</f>
        <v>1716354.7000000002</v>
      </c>
      <c r="H64" s="473">
        <f t="shared" si="45"/>
        <v>1573325.0999999999</v>
      </c>
      <c r="I64" s="473">
        <f t="shared" si="45"/>
        <v>1573325.0999999999</v>
      </c>
      <c r="J64" s="473">
        <f t="shared" si="45"/>
        <v>1632362.3</v>
      </c>
      <c r="K64" s="473">
        <f t="shared" si="45"/>
        <v>1632362.3</v>
      </c>
      <c r="L64" s="473">
        <f t="shared" si="45"/>
        <v>1580829.9</v>
      </c>
      <c r="M64" s="473" t="e">
        <f t="shared" si="45"/>
        <v>#REF!</v>
      </c>
      <c r="N64" s="473">
        <f t="shared" si="37"/>
        <v>92.10391651562463</v>
      </c>
      <c r="O64" s="486">
        <f t="shared" si="16"/>
        <v>100.47700249617833</v>
      </c>
      <c r="P64" s="473">
        <f t="shared" si="17"/>
        <v>96.8430782798647</v>
      </c>
      <c r="Q64" s="486">
        <f t="shared" si="5"/>
        <v>7504.800000000047</v>
      </c>
      <c r="R64" s="486">
        <f t="shared" si="6"/>
        <v>-51532.40000000014</v>
      </c>
      <c r="S64" s="505">
        <f>L64-I64-Q64</f>
        <v>0</v>
      </c>
      <c r="T64" s="506">
        <f t="shared" si="34"/>
        <v>0</v>
      </c>
      <c r="U64" s="506">
        <f t="shared" si="21"/>
        <v>0</v>
      </c>
      <c r="V64" s="506">
        <f t="shared" si="22"/>
        <v>0</v>
      </c>
      <c r="W64" s="507">
        <f t="shared" si="10"/>
        <v>0</v>
      </c>
      <c r="X64" s="506">
        <f t="shared" si="11"/>
        <v>0</v>
      </c>
    </row>
    <row r="65" spans="1:24" s="508" customFormat="1" ht="31.5">
      <c r="A65" s="624" t="s">
        <v>363</v>
      </c>
      <c r="B65" s="504">
        <v>41030000</v>
      </c>
      <c r="C65" s="473">
        <f>C67+C68+C66+C69</f>
        <v>486143.2</v>
      </c>
      <c r="D65" s="473">
        <f>D67+D68+D66+D69</f>
        <v>486143.2</v>
      </c>
      <c r="E65" s="473">
        <f>L65-D65</f>
        <v>63960.399999999965</v>
      </c>
      <c r="F65" s="473">
        <f t="shared" si="0"/>
        <v>113.15669950747022</v>
      </c>
      <c r="G65" s="473">
        <f>G67+G68+G66+G69</f>
        <v>533355</v>
      </c>
      <c r="H65" s="473">
        <f aca="true" t="shared" si="46" ref="H65:M65">H67+H68+H66+H69</f>
        <v>488908.7</v>
      </c>
      <c r="I65" s="473">
        <f t="shared" si="46"/>
        <v>488908.7</v>
      </c>
      <c r="J65" s="473">
        <f t="shared" si="46"/>
        <v>550105</v>
      </c>
      <c r="K65" s="473">
        <f t="shared" si="46"/>
        <v>550105</v>
      </c>
      <c r="L65" s="473">
        <f t="shared" si="46"/>
        <v>550103.6</v>
      </c>
      <c r="M65" s="473" t="e">
        <f t="shared" si="46"/>
        <v>#REF!</v>
      </c>
      <c r="N65" s="473">
        <f t="shared" si="37"/>
        <v>103.14023492795606</v>
      </c>
      <c r="O65" s="486">
        <f t="shared" si="16"/>
        <v>112.51663142832189</v>
      </c>
      <c r="P65" s="473">
        <f t="shared" si="17"/>
        <v>99.99974550313122</v>
      </c>
      <c r="Q65" s="486">
        <f t="shared" si="5"/>
        <v>61194.899999999965</v>
      </c>
      <c r="R65" s="486">
        <f t="shared" si="6"/>
        <v>-1.400000000023283</v>
      </c>
      <c r="S65" s="505"/>
      <c r="T65" s="506"/>
      <c r="U65" s="506"/>
      <c r="V65" s="506"/>
      <c r="W65" s="507"/>
      <c r="X65" s="506"/>
    </row>
    <row r="66" spans="1:24" s="574" customFormat="1" ht="63">
      <c r="A66" s="457" t="s">
        <v>106</v>
      </c>
      <c r="B66" s="458">
        <v>41033800</v>
      </c>
      <c r="C66" s="456">
        <v>330</v>
      </c>
      <c r="D66" s="456">
        <v>330</v>
      </c>
      <c r="E66" s="459">
        <f>L66-D66</f>
        <v>1968.6</v>
      </c>
      <c r="F66" s="459">
        <f>L66/D66*100</f>
        <v>696.5454545454545</v>
      </c>
      <c r="G66" s="456">
        <v>2300</v>
      </c>
      <c r="H66" s="456">
        <f>ROUND(G66*$T$6,1)</f>
        <v>2108.3</v>
      </c>
      <c r="I66" s="522">
        <f>ROUND((G66*$T$7+G66*$T$8),1)</f>
        <v>2108.3</v>
      </c>
      <c r="J66" s="456">
        <v>2300</v>
      </c>
      <c r="K66" s="522">
        <v>2300</v>
      </c>
      <c r="L66" s="456">
        <v>2298.6</v>
      </c>
      <c r="M66" s="456" t="e">
        <f>L66-#REF!</f>
        <v>#REF!</v>
      </c>
      <c r="N66" s="456">
        <f>L66/G66*100</f>
        <v>99.93913043478261</v>
      </c>
      <c r="O66" s="459">
        <f>L66/I66*100</f>
        <v>109.0262296637101</v>
      </c>
      <c r="P66" s="456">
        <f>L66/K66*100</f>
        <v>99.93913043478261</v>
      </c>
      <c r="Q66" s="459">
        <f>L66-I66</f>
        <v>190.29999999999973</v>
      </c>
      <c r="R66" s="459">
        <f>L66-K66</f>
        <v>-1.400000000000091</v>
      </c>
      <c r="S66" s="460"/>
      <c r="T66" s="461"/>
      <c r="U66" s="461"/>
      <c r="V66" s="461"/>
      <c r="W66" s="598"/>
      <c r="X66" s="461"/>
    </row>
    <row r="67" spans="1:24" s="463" customFormat="1" ht="31.5">
      <c r="A67" s="457" t="s">
        <v>331</v>
      </c>
      <c r="B67" s="458">
        <v>41033900</v>
      </c>
      <c r="C67" s="456">
        <v>224563.9</v>
      </c>
      <c r="D67" s="456">
        <v>224563.9</v>
      </c>
      <c r="E67" s="459">
        <f t="shared" si="13"/>
        <v>39315.00000000003</v>
      </c>
      <c r="F67" s="459">
        <f t="shared" si="0"/>
        <v>117.50726630593789</v>
      </c>
      <c r="G67" s="456">
        <v>259300.6</v>
      </c>
      <c r="H67" s="456">
        <f aca="true" t="shared" si="47" ref="H67:H117">ROUND(G67*$T$6,1)</f>
        <v>237692.2</v>
      </c>
      <c r="I67" s="522">
        <f>ROUND((G67*$T$7+G67*$T$8),1)</f>
        <v>237692.2</v>
      </c>
      <c r="J67" s="456">
        <v>263878.9</v>
      </c>
      <c r="K67" s="522">
        <v>263878.9</v>
      </c>
      <c r="L67" s="456">
        <v>263878.9</v>
      </c>
      <c r="M67" s="456" t="e">
        <f>L67-#REF!</f>
        <v>#REF!</v>
      </c>
      <c r="N67" s="456">
        <f t="shared" si="37"/>
        <v>101.76563417130544</v>
      </c>
      <c r="O67" s="459">
        <f t="shared" si="16"/>
        <v>111.01706324397689</v>
      </c>
      <c r="P67" s="456">
        <f t="shared" si="17"/>
        <v>100</v>
      </c>
      <c r="Q67" s="459">
        <f t="shared" si="5"/>
        <v>26186.70000000001</v>
      </c>
      <c r="R67" s="459">
        <f t="shared" si="6"/>
        <v>0</v>
      </c>
      <c r="S67" s="460"/>
      <c r="T67" s="461"/>
      <c r="U67" s="461"/>
      <c r="V67" s="461"/>
      <c r="W67" s="462"/>
      <c r="X67" s="461"/>
    </row>
    <row r="68" spans="1:24" s="463" customFormat="1" ht="31.5">
      <c r="A68" s="457" t="s">
        <v>332</v>
      </c>
      <c r="B68" s="458">
        <v>41034200</v>
      </c>
      <c r="C68" s="456">
        <v>225757.5</v>
      </c>
      <c r="D68" s="456">
        <v>225757.5</v>
      </c>
      <c r="E68" s="459">
        <f t="shared" si="13"/>
        <v>5936.899999999994</v>
      </c>
      <c r="F68" s="459">
        <f t="shared" si="0"/>
        <v>102.62976866770761</v>
      </c>
      <c r="G68" s="456">
        <f>213805.6+17888.8</f>
        <v>231694.4</v>
      </c>
      <c r="H68" s="456">
        <f t="shared" si="47"/>
        <v>212386.5</v>
      </c>
      <c r="I68" s="522">
        <f>ROUND((G68*$T$7+G68*$T$8),1)</f>
        <v>212386.5</v>
      </c>
      <c r="J68" s="456">
        <v>231694.4</v>
      </c>
      <c r="K68" s="522">
        <v>231694.4</v>
      </c>
      <c r="L68" s="456">
        <v>231694.4</v>
      </c>
      <c r="M68" s="456" t="e">
        <f>L68-#REF!</f>
        <v>#REF!</v>
      </c>
      <c r="N68" s="456">
        <f t="shared" si="37"/>
        <v>100</v>
      </c>
      <c r="O68" s="459">
        <f t="shared" si="16"/>
        <v>109.09092621235341</v>
      </c>
      <c r="P68" s="456">
        <f t="shared" si="17"/>
        <v>100</v>
      </c>
      <c r="Q68" s="459">
        <f t="shared" si="5"/>
        <v>19307.899999999994</v>
      </c>
      <c r="R68" s="459">
        <f t="shared" si="6"/>
        <v>0</v>
      </c>
      <c r="S68" s="460"/>
      <c r="T68" s="461"/>
      <c r="U68" s="461"/>
      <c r="V68" s="461"/>
      <c r="W68" s="462"/>
      <c r="X68" s="461"/>
    </row>
    <row r="69" spans="1:24" s="463" customFormat="1" ht="50.25" customHeight="1">
      <c r="A69" s="457" t="s">
        <v>157</v>
      </c>
      <c r="B69" s="458">
        <v>41034500</v>
      </c>
      <c r="C69" s="456">
        <v>35491.8</v>
      </c>
      <c r="D69" s="456">
        <v>35491.8</v>
      </c>
      <c r="E69" s="459">
        <f>L69-D69</f>
        <v>16739.899999999994</v>
      </c>
      <c r="F69" s="459">
        <f>L69/D69*100</f>
        <v>147.16554246332953</v>
      </c>
      <c r="G69" s="456">
        <f>17540+22520</f>
        <v>40060</v>
      </c>
      <c r="H69" s="456">
        <f t="shared" si="47"/>
        <v>36721.7</v>
      </c>
      <c r="I69" s="522">
        <f>ROUND((G69*$T$7+G69*$T$8),1)</f>
        <v>36721.7</v>
      </c>
      <c r="J69" s="456">
        <v>52231.7</v>
      </c>
      <c r="K69" s="522">
        <v>52231.7</v>
      </c>
      <c r="L69" s="456">
        <v>52231.7</v>
      </c>
      <c r="M69" s="456" t="e">
        <f>L69-#REF!</f>
        <v>#REF!</v>
      </c>
      <c r="N69" s="456">
        <f>L69/G69*100</f>
        <v>130.3836744882676</v>
      </c>
      <c r="O69" s="459">
        <f>L69/I69*100</f>
        <v>142.23660669304525</v>
      </c>
      <c r="P69" s="456">
        <f>L69/K69*100</f>
        <v>100</v>
      </c>
      <c r="Q69" s="459">
        <f>L69-I69</f>
        <v>15510</v>
      </c>
      <c r="R69" s="459">
        <f>L69-K69</f>
        <v>0</v>
      </c>
      <c r="S69" s="460"/>
      <c r="T69" s="461"/>
      <c r="U69" s="461"/>
      <c r="V69" s="461"/>
      <c r="W69" s="462"/>
      <c r="X69" s="461"/>
    </row>
    <row r="70" spans="1:24" s="574" customFormat="1" ht="31.5">
      <c r="A70" s="597" t="s">
        <v>333</v>
      </c>
      <c r="B70" s="573">
        <v>41040000</v>
      </c>
      <c r="C70" s="483">
        <f>C71</f>
        <v>0</v>
      </c>
      <c r="D70" s="483">
        <f>D71</f>
        <v>0</v>
      </c>
      <c r="E70" s="484">
        <f t="shared" si="13"/>
        <v>2684.6</v>
      </c>
      <c r="F70" s="599" t="e">
        <f t="shared" si="0"/>
        <v>#DIV/0!</v>
      </c>
      <c r="G70" s="483">
        <f aca="true" t="shared" si="48" ref="G70:M70">G71</f>
        <v>2684.6</v>
      </c>
      <c r="H70" s="483">
        <f t="shared" si="48"/>
        <v>2460.9</v>
      </c>
      <c r="I70" s="473">
        <f t="shared" si="48"/>
        <v>2460.9</v>
      </c>
      <c r="J70" s="483">
        <f t="shared" si="48"/>
        <v>2684.6</v>
      </c>
      <c r="K70" s="473">
        <f t="shared" si="48"/>
        <v>2684.6</v>
      </c>
      <c r="L70" s="483">
        <f t="shared" si="48"/>
        <v>2684.6</v>
      </c>
      <c r="M70" s="483" t="e">
        <f t="shared" si="48"/>
        <v>#REF!</v>
      </c>
      <c r="N70" s="483">
        <f>L70/G70*100</f>
        <v>100</v>
      </c>
      <c r="O70" s="484">
        <f>L70/I70*100</f>
        <v>109.09017026291194</v>
      </c>
      <c r="P70" s="483">
        <f>L70/K70*100</f>
        <v>100</v>
      </c>
      <c r="Q70" s="484">
        <f>L70-I70</f>
        <v>223.69999999999982</v>
      </c>
      <c r="R70" s="484">
        <f>L70-K70</f>
        <v>0</v>
      </c>
      <c r="S70" s="460"/>
      <c r="T70" s="461"/>
      <c r="U70" s="461"/>
      <c r="V70" s="461"/>
      <c r="W70" s="462">
        <f>H70-I70</f>
        <v>0</v>
      </c>
      <c r="X70" s="461">
        <f>J70-K70</f>
        <v>0</v>
      </c>
    </row>
    <row r="71" spans="1:24" s="463" customFormat="1" ht="78.75">
      <c r="A71" s="457" t="s">
        <v>334</v>
      </c>
      <c r="B71" s="458">
        <v>41040200</v>
      </c>
      <c r="C71" s="456"/>
      <c r="D71" s="456">
        <v>0</v>
      </c>
      <c r="E71" s="459">
        <f t="shared" si="13"/>
        <v>2684.6</v>
      </c>
      <c r="F71" s="465" t="e">
        <f t="shared" si="0"/>
        <v>#DIV/0!</v>
      </c>
      <c r="G71" s="456">
        <v>2684.6</v>
      </c>
      <c r="H71" s="456">
        <f t="shared" si="47"/>
        <v>2460.9</v>
      </c>
      <c r="I71" s="522">
        <f>ROUND((G71*$T$7+G71*$T$8),1)</f>
        <v>2460.9</v>
      </c>
      <c r="J71" s="456">
        <v>2684.6</v>
      </c>
      <c r="K71" s="522">
        <v>2684.6</v>
      </c>
      <c r="L71" s="456">
        <v>2684.6</v>
      </c>
      <c r="M71" s="456" t="e">
        <f>L71-#REF!</f>
        <v>#REF!</v>
      </c>
      <c r="N71" s="456">
        <f>L71/G71*100</f>
        <v>100</v>
      </c>
      <c r="O71" s="459">
        <f>L71/I71*100</f>
        <v>109.09017026291194</v>
      </c>
      <c r="P71" s="456">
        <f>L71/K71*100</f>
        <v>100</v>
      </c>
      <c r="Q71" s="459">
        <f>L71-I71</f>
        <v>223.69999999999982</v>
      </c>
      <c r="R71" s="459">
        <f>L71-K71</f>
        <v>0</v>
      </c>
      <c r="S71" s="460"/>
      <c r="T71" s="461"/>
      <c r="U71" s="461"/>
      <c r="V71" s="461"/>
      <c r="W71" s="462">
        <f>H71-I71</f>
        <v>0</v>
      </c>
      <c r="X71" s="461">
        <f>J71-K71</f>
        <v>0</v>
      </c>
    </row>
    <row r="72" spans="1:24" s="574" customFormat="1" ht="31.5">
      <c r="A72" s="578" t="s">
        <v>335</v>
      </c>
      <c r="B72" s="573">
        <v>41050000</v>
      </c>
      <c r="C72" s="483">
        <f>C73+C74+C75+C79+C87+C89+C97+C98+C99+C100+C81+C117+C88+C76+C77+C78</f>
        <v>907832.2</v>
      </c>
      <c r="D72" s="483">
        <f>D73+D74+D75+D79+D87+D89+D97+D98+D99+D100+D81+D117+D88+D76+D77+D78</f>
        <v>902452.2999999999</v>
      </c>
      <c r="E72" s="484">
        <f t="shared" si="13"/>
        <v>125589.40000000002</v>
      </c>
      <c r="F72" s="484">
        <f t="shared" si="0"/>
        <v>113.91645852085479</v>
      </c>
      <c r="G72" s="483">
        <f aca="true" t="shared" si="49" ref="G72:L72">G73+G74+G75+G79+G87+G89+G97+G98+G99+G100+G81+G117+G88+G76+G77+G78</f>
        <v>1180315.1</v>
      </c>
      <c r="H72" s="483">
        <f t="shared" si="49"/>
        <v>1081955.5</v>
      </c>
      <c r="I72" s="473">
        <f t="shared" si="49"/>
        <v>1081955.5</v>
      </c>
      <c r="J72" s="483">
        <f t="shared" si="49"/>
        <v>1079572.7</v>
      </c>
      <c r="K72" s="473">
        <f t="shared" si="49"/>
        <v>1079572.7</v>
      </c>
      <c r="L72" s="483">
        <f t="shared" si="49"/>
        <v>1028041.7</v>
      </c>
      <c r="M72" s="483" t="e">
        <f>M73+M74+M75+M79+M87+M89+M97+M98+M99+M100+M81+M117+M88+M76+M77+M78+M80</f>
        <v>#REF!</v>
      </c>
      <c r="N72" s="483">
        <f t="shared" si="37"/>
        <v>87.09891960206218</v>
      </c>
      <c r="O72" s="484">
        <f t="shared" si="16"/>
        <v>95.01700393408046</v>
      </c>
      <c r="P72" s="483">
        <f t="shared" si="17"/>
        <v>95.22672257273642</v>
      </c>
      <c r="Q72" s="484">
        <f t="shared" si="5"/>
        <v>-53913.80000000005</v>
      </c>
      <c r="R72" s="484">
        <f t="shared" si="6"/>
        <v>-51531</v>
      </c>
      <c r="S72" s="460">
        <f>L72-I72-Q72</f>
        <v>0</v>
      </c>
      <c r="T72" s="461">
        <f>L72-K72-R72</f>
        <v>0</v>
      </c>
      <c r="U72" s="461">
        <f>L72/G72*100-N72</f>
        <v>0</v>
      </c>
      <c r="V72" s="461">
        <f>L72/I72*100-O72</f>
        <v>0</v>
      </c>
      <c r="W72" s="462">
        <f>H72-I72</f>
        <v>0</v>
      </c>
      <c r="X72" s="461">
        <f>J72-K72</f>
        <v>0</v>
      </c>
    </row>
    <row r="73" spans="1:24" s="463" customFormat="1" ht="141.75">
      <c r="A73" s="464" t="s">
        <v>336</v>
      </c>
      <c r="B73" s="458">
        <v>41050100</v>
      </c>
      <c r="C73" s="456">
        <v>583483.1</v>
      </c>
      <c r="D73" s="456">
        <v>583483.1</v>
      </c>
      <c r="E73" s="459">
        <f t="shared" si="13"/>
        <v>103602</v>
      </c>
      <c r="F73" s="459">
        <f t="shared" si="0"/>
        <v>117.75578418638004</v>
      </c>
      <c r="G73" s="456">
        <v>772232.1</v>
      </c>
      <c r="H73" s="456">
        <f>ROUND(G73*$T$6,1)</f>
        <v>707879.4</v>
      </c>
      <c r="I73" s="522">
        <f>ROUND((G73*$T$7+G73*$T$8),1)</f>
        <v>707879.4</v>
      </c>
      <c r="J73" s="456">
        <v>729055.1</v>
      </c>
      <c r="K73" s="522">
        <v>729055.1</v>
      </c>
      <c r="L73" s="456">
        <v>687085.1</v>
      </c>
      <c r="M73" s="456" t="e">
        <f>L73-#REF!</f>
        <v>#REF!</v>
      </c>
      <c r="N73" s="456">
        <f t="shared" si="37"/>
        <v>88.97391082292488</v>
      </c>
      <c r="O73" s="459">
        <f t="shared" si="16"/>
        <v>97.06245159839372</v>
      </c>
      <c r="P73" s="456">
        <f t="shared" si="17"/>
        <v>94.24323346753901</v>
      </c>
      <c r="Q73" s="459">
        <f t="shared" si="5"/>
        <v>-20794.300000000047</v>
      </c>
      <c r="R73" s="459">
        <f t="shared" si="6"/>
        <v>-41970</v>
      </c>
      <c r="S73" s="469"/>
      <c r="T73" s="470"/>
      <c r="U73" s="470"/>
      <c r="V73" s="470"/>
      <c r="W73" s="471"/>
      <c r="X73" s="470"/>
    </row>
    <row r="74" spans="1:24" s="463" customFormat="1" ht="81.75" customHeight="1">
      <c r="A74" s="464" t="s">
        <v>337</v>
      </c>
      <c r="B74" s="458">
        <v>41050200</v>
      </c>
      <c r="C74" s="456">
        <v>285</v>
      </c>
      <c r="D74" s="456">
        <v>285</v>
      </c>
      <c r="E74" s="459">
        <f t="shared" si="13"/>
        <v>18.19999999999999</v>
      </c>
      <c r="F74" s="459">
        <f t="shared" si="0"/>
        <v>106.3859649122807</v>
      </c>
      <c r="G74" s="456">
        <v>375.4</v>
      </c>
      <c r="H74" s="456">
        <f>ROUND(G74*$T$6,1)</f>
        <v>344.1</v>
      </c>
      <c r="I74" s="522">
        <f aca="true" t="shared" si="50" ref="I74:I79">ROUND((G74*$T$7+G74*$T$8),1)</f>
        <v>344.1</v>
      </c>
      <c r="J74" s="456">
        <v>308.2</v>
      </c>
      <c r="K74" s="522">
        <v>308.2</v>
      </c>
      <c r="L74" s="456">
        <v>303.2</v>
      </c>
      <c r="M74" s="456" t="e">
        <f>L74-#REF!</f>
        <v>#REF!</v>
      </c>
      <c r="N74" s="456">
        <f t="shared" si="37"/>
        <v>80.76718167288226</v>
      </c>
      <c r="O74" s="459">
        <f t="shared" si="16"/>
        <v>88.11392037198488</v>
      </c>
      <c r="P74" s="456">
        <f t="shared" si="17"/>
        <v>98.37767683322518</v>
      </c>
      <c r="Q74" s="459">
        <f t="shared" si="5"/>
        <v>-40.900000000000034</v>
      </c>
      <c r="R74" s="459">
        <f t="shared" si="6"/>
        <v>-5</v>
      </c>
      <c r="S74" s="469"/>
      <c r="T74" s="470"/>
      <c r="U74" s="470"/>
      <c r="V74" s="470"/>
      <c r="W74" s="471"/>
      <c r="X74" s="470"/>
    </row>
    <row r="75" spans="1:24" s="463" customFormat="1" ht="241.5" customHeight="1">
      <c r="A75" s="464" t="s">
        <v>338</v>
      </c>
      <c r="B75" s="458">
        <v>41050300</v>
      </c>
      <c r="C75" s="456">
        <v>291262.5</v>
      </c>
      <c r="D75" s="456">
        <v>291262.5</v>
      </c>
      <c r="E75" s="459">
        <f t="shared" si="13"/>
        <v>-8697.900000000023</v>
      </c>
      <c r="F75" s="459">
        <f aca="true" t="shared" si="51" ref="F75:F113">L75/D75*100</f>
        <v>97.01372473284408</v>
      </c>
      <c r="G75" s="456">
        <f>350368.7-1415</f>
        <v>348953.7</v>
      </c>
      <c r="H75" s="456">
        <f>ROUND(G75*$T$6,1)</f>
        <v>319874.2</v>
      </c>
      <c r="I75" s="522">
        <f>ROUND((G75*$T$7+G75*$T$8),1)</f>
        <v>319874.2</v>
      </c>
      <c r="J75" s="456">
        <v>284896.8</v>
      </c>
      <c r="K75" s="522">
        <v>284896.8</v>
      </c>
      <c r="L75" s="456">
        <v>282564.6</v>
      </c>
      <c r="M75" s="456" t="e">
        <f>L75-#REF!</f>
        <v>#REF!</v>
      </c>
      <c r="N75" s="456">
        <f t="shared" si="37"/>
        <v>80.97481127152399</v>
      </c>
      <c r="O75" s="459">
        <f t="shared" si="16"/>
        <v>88.33616465472987</v>
      </c>
      <c r="P75" s="456">
        <f t="shared" si="17"/>
        <v>99.1813877867354</v>
      </c>
      <c r="Q75" s="459">
        <f aca="true" t="shared" si="52" ref="Q75:Q100">L75-I75</f>
        <v>-37309.600000000035</v>
      </c>
      <c r="R75" s="459">
        <f aca="true" t="shared" si="53" ref="R75:R100">L75-K75</f>
        <v>-2332.2000000000116</v>
      </c>
      <c r="S75" s="469"/>
      <c r="T75" s="470"/>
      <c r="U75" s="470"/>
      <c r="V75" s="470"/>
      <c r="W75" s="471"/>
      <c r="X75" s="470"/>
    </row>
    <row r="76" spans="1:24" s="463" customFormat="1" ht="255" customHeight="1">
      <c r="A76" s="464" t="s">
        <v>22</v>
      </c>
      <c r="B76" s="458">
        <v>41050400</v>
      </c>
      <c r="C76" s="456"/>
      <c r="D76" s="456">
        <v>0</v>
      </c>
      <c r="E76" s="459">
        <f>L76-D76</f>
        <v>10770.9</v>
      </c>
      <c r="F76" s="465" t="e">
        <f>L76/D76*100</f>
        <v>#DIV/0!</v>
      </c>
      <c r="G76" s="456">
        <v>6547.5</v>
      </c>
      <c r="H76" s="456">
        <f>ROUND(G76*$T$6,1)</f>
        <v>6001.9</v>
      </c>
      <c r="I76" s="522">
        <f t="shared" si="50"/>
        <v>6001.9</v>
      </c>
      <c r="J76" s="456">
        <v>10929.5</v>
      </c>
      <c r="K76" s="522">
        <v>10929.5</v>
      </c>
      <c r="L76" s="456">
        <v>10770.9</v>
      </c>
      <c r="M76" s="456" t="e">
        <f>L76-#REF!</f>
        <v>#REF!</v>
      </c>
      <c r="N76" s="466">
        <f t="shared" si="37"/>
        <v>164.50400916380298</v>
      </c>
      <c r="O76" s="467">
        <f>L76/I76*100</f>
        <v>179.45817157899998</v>
      </c>
      <c r="P76" s="466">
        <f>L76/K76*100</f>
        <v>98.54888146758772</v>
      </c>
      <c r="Q76" s="467">
        <f>L76-I76</f>
        <v>4769</v>
      </c>
      <c r="R76" s="467">
        <f>L76-K76</f>
        <v>-158.60000000000036</v>
      </c>
      <c r="S76" s="469"/>
      <c r="T76" s="470"/>
      <c r="U76" s="470"/>
      <c r="V76" s="470"/>
      <c r="W76" s="471"/>
      <c r="X76" s="470"/>
    </row>
    <row r="77" spans="1:24" s="463" customFormat="1" ht="267.75">
      <c r="A77" s="464" t="s">
        <v>165</v>
      </c>
      <c r="B77" s="458">
        <v>41050500</v>
      </c>
      <c r="C77" s="456"/>
      <c r="D77" s="456">
        <v>0</v>
      </c>
      <c r="E77" s="459">
        <f>L77-D77</f>
        <v>4381.8</v>
      </c>
      <c r="F77" s="465" t="e">
        <f>L77/D77*100</f>
        <v>#DIV/0!</v>
      </c>
      <c r="G77" s="456">
        <v>3521.5</v>
      </c>
      <c r="H77" s="456">
        <f t="shared" si="47"/>
        <v>3228</v>
      </c>
      <c r="I77" s="522">
        <f t="shared" si="50"/>
        <v>3228</v>
      </c>
      <c r="J77" s="456">
        <v>4381.8</v>
      </c>
      <c r="K77" s="522">
        <v>4381.8</v>
      </c>
      <c r="L77" s="456">
        <v>4381.8</v>
      </c>
      <c r="M77" s="456" t="e">
        <f>L77-#REF!</f>
        <v>#REF!</v>
      </c>
      <c r="N77" s="466">
        <f>L77/G77*100</f>
        <v>124.42993042737471</v>
      </c>
      <c r="O77" s="467">
        <f>L77/I77*100</f>
        <v>135.74349442379184</v>
      </c>
      <c r="P77" s="466">
        <f>L77/K77*100</f>
        <v>100</v>
      </c>
      <c r="Q77" s="467">
        <f>L77-I77</f>
        <v>1153.8000000000002</v>
      </c>
      <c r="R77" s="467">
        <f>L77-K77</f>
        <v>0</v>
      </c>
      <c r="S77" s="469"/>
      <c r="T77" s="470"/>
      <c r="U77" s="470"/>
      <c r="V77" s="470"/>
      <c r="W77" s="471"/>
      <c r="X77" s="470"/>
    </row>
    <row r="78" spans="1:24" s="463" customFormat="1" ht="283.5">
      <c r="A78" s="464" t="s">
        <v>173</v>
      </c>
      <c r="B78" s="458">
        <v>41050600</v>
      </c>
      <c r="C78" s="456"/>
      <c r="D78" s="456"/>
      <c r="E78" s="459">
        <f>L78-D78</f>
        <v>2699</v>
      </c>
      <c r="F78" s="548" t="e">
        <f>L78/D78*100</f>
        <v>#DIV/0!</v>
      </c>
      <c r="G78" s="456">
        <v>2544.5</v>
      </c>
      <c r="H78" s="456">
        <f>ROUND(G78*$T$6,1)</f>
        <v>2332.5</v>
      </c>
      <c r="I78" s="522">
        <f t="shared" si="50"/>
        <v>2332.5</v>
      </c>
      <c r="J78" s="456">
        <v>2699.1</v>
      </c>
      <c r="K78" s="522">
        <v>2699.1</v>
      </c>
      <c r="L78" s="456">
        <v>2699</v>
      </c>
      <c r="M78" s="456" t="e">
        <f>L78-#REF!</f>
        <v>#REF!</v>
      </c>
      <c r="N78" s="466">
        <f>L78/G78*100</f>
        <v>106.07191982707802</v>
      </c>
      <c r="O78" s="467">
        <f>L78/I78*100</f>
        <v>115.71275455519829</v>
      </c>
      <c r="P78" s="466">
        <f>L78/K78*100</f>
        <v>99.99629506131674</v>
      </c>
      <c r="Q78" s="467">
        <f>L78-I78</f>
        <v>366.5</v>
      </c>
      <c r="R78" s="467">
        <f>L78-K78</f>
        <v>-0.09999999999990905</v>
      </c>
      <c r="S78" s="469"/>
      <c r="T78" s="470"/>
      <c r="U78" s="470"/>
      <c r="V78" s="470"/>
      <c r="W78" s="471"/>
      <c r="X78" s="470"/>
    </row>
    <row r="79" spans="1:24" s="463" customFormat="1" ht="189">
      <c r="A79" s="464" t="s">
        <v>339</v>
      </c>
      <c r="B79" s="458">
        <v>41050700</v>
      </c>
      <c r="C79" s="456">
        <v>1786</v>
      </c>
      <c r="D79" s="456">
        <v>1786</v>
      </c>
      <c r="E79" s="459">
        <f t="shared" si="13"/>
        <v>326.8000000000002</v>
      </c>
      <c r="F79" s="459">
        <f t="shared" si="51"/>
        <v>118.29787234042554</v>
      </c>
      <c r="G79" s="456">
        <f>2695.7-200</f>
        <v>2495.7</v>
      </c>
      <c r="H79" s="456">
        <f>ROUND(G79*$T$6,1)</f>
        <v>2287.7</v>
      </c>
      <c r="I79" s="522">
        <f t="shared" si="50"/>
        <v>2287.7</v>
      </c>
      <c r="J79" s="456">
        <v>2195.8</v>
      </c>
      <c r="K79" s="522">
        <v>2195.8</v>
      </c>
      <c r="L79" s="456">
        <v>2112.8</v>
      </c>
      <c r="M79" s="456" t="e">
        <f>L79-#REF!</f>
        <v>#REF!</v>
      </c>
      <c r="N79" s="466">
        <f t="shared" si="37"/>
        <v>84.65761109107667</v>
      </c>
      <c r="O79" s="467">
        <f t="shared" si="16"/>
        <v>92.35476679634569</v>
      </c>
      <c r="P79" s="466">
        <f t="shared" si="17"/>
        <v>96.22005647144549</v>
      </c>
      <c r="Q79" s="467">
        <f t="shared" si="52"/>
        <v>-174.89999999999964</v>
      </c>
      <c r="R79" s="467">
        <f t="shared" si="53"/>
        <v>-83</v>
      </c>
      <c r="S79" s="469"/>
      <c r="T79" s="470"/>
      <c r="U79" s="470"/>
      <c r="V79" s="470"/>
      <c r="W79" s="471"/>
      <c r="X79" s="470"/>
    </row>
    <row r="80" spans="1:24" s="463" customFormat="1" ht="110.25" hidden="1">
      <c r="A80" s="464" t="s">
        <v>172</v>
      </c>
      <c r="B80" s="458">
        <v>41050900</v>
      </c>
      <c r="C80" s="456"/>
      <c r="D80" s="456"/>
      <c r="E80" s="459"/>
      <c r="F80" s="459"/>
      <c r="G80" s="456"/>
      <c r="H80" s="456"/>
      <c r="I80" s="522"/>
      <c r="J80" s="456"/>
      <c r="K80" s="522"/>
      <c r="L80" s="456"/>
      <c r="M80" s="456" t="e">
        <f>L80-#REF!</f>
        <v>#REF!</v>
      </c>
      <c r="N80" s="466"/>
      <c r="O80" s="467"/>
      <c r="P80" s="466"/>
      <c r="Q80" s="467"/>
      <c r="R80" s="467"/>
      <c r="S80" s="469"/>
      <c r="T80" s="470"/>
      <c r="U80" s="470"/>
      <c r="V80" s="470"/>
      <c r="W80" s="471"/>
      <c r="X80" s="470"/>
    </row>
    <row r="81" spans="1:24" s="463" customFormat="1" ht="63">
      <c r="A81" s="464" t="s">
        <v>5</v>
      </c>
      <c r="B81" s="458">
        <v>41051100</v>
      </c>
      <c r="C81" s="456"/>
      <c r="D81" s="456">
        <f>D86+D85+D84+D83+D82</f>
        <v>0</v>
      </c>
      <c r="E81" s="459">
        <f t="shared" si="13"/>
        <v>848.8</v>
      </c>
      <c r="F81" s="465" t="e">
        <f t="shared" si="51"/>
        <v>#DIV/0!</v>
      </c>
      <c r="G81" s="456">
        <f aca="true" t="shared" si="54" ref="G81:M81">G82+G83+G84+G85+G86</f>
        <v>848.8</v>
      </c>
      <c r="H81" s="456">
        <f t="shared" si="54"/>
        <v>778.2</v>
      </c>
      <c r="I81" s="522">
        <f t="shared" si="54"/>
        <v>778.2</v>
      </c>
      <c r="J81" s="456">
        <f t="shared" si="54"/>
        <v>948.8</v>
      </c>
      <c r="K81" s="522">
        <f t="shared" si="54"/>
        <v>948.8</v>
      </c>
      <c r="L81" s="456">
        <f t="shared" si="54"/>
        <v>848.8</v>
      </c>
      <c r="M81" s="456" t="e">
        <f t="shared" si="54"/>
        <v>#REF!</v>
      </c>
      <c r="N81" s="466">
        <f t="shared" si="37"/>
        <v>100</v>
      </c>
      <c r="O81" s="467">
        <f t="shared" si="16"/>
        <v>109.07221793883319</v>
      </c>
      <c r="P81" s="466">
        <f t="shared" si="17"/>
        <v>89.46037099494097</v>
      </c>
      <c r="Q81" s="467">
        <f t="shared" si="52"/>
        <v>70.59999999999991</v>
      </c>
      <c r="R81" s="467">
        <f t="shared" si="53"/>
        <v>-100</v>
      </c>
      <c r="S81" s="469"/>
      <c r="T81" s="470"/>
      <c r="U81" s="470"/>
      <c r="V81" s="470"/>
      <c r="W81" s="471"/>
      <c r="X81" s="470"/>
    </row>
    <row r="82" spans="1:24" s="463" customFormat="1" ht="98.25" customHeight="1">
      <c r="A82" s="600" t="s">
        <v>6</v>
      </c>
      <c r="B82" s="458"/>
      <c r="C82" s="456"/>
      <c r="D82" s="456"/>
      <c r="E82" s="459">
        <f t="shared" si="13"/>
        <v>233.1</v>
      </c>
      <c r="F82" s="465" t="e">
        <f t="shared" si="51"/>
        <v>#DIV/0!</v>
      </c>
      <c r="G82" s="456">
        <v>233.1</v>
      </c>
      <c r="H82" s="456">
        <f t="shared" si="47"/>
        <v>213.7</v>
      </c>
      <c r="I82" s="522">
        <f aca="true" t="shared" si="55" ref="I82:I88">ROUND((G82*$T$7+G82*$T$8),1)</f>
        <v>213.7</v>
      </c>
      <c r="J82" s="456">
        <v>233.1</v>
      </c>
      <c r="K82" s="522">
        <v>233.1</v>
      </c>
      <c r="L82" s="456">
        <v>233.1</v>
      </c>
      <c r="M82" s="456" t="e">
        <f>L82-#REF!</f>
        <v>#REF!</v>
      </c>
      <c r="N82" s="466">
        <f t="shared" si="37"/>
        <v>100</v>
      </c>
      <c r="O82" s="467">
        <f t="shared" si="16"/>
        <v>109.07814693495554</v>
      </c>
      <c r="P82" s="466">
        <f t="shared" si="17"/>
        <v>100</v>
      </c>
      <c r="Q82" s="467">
        <f t="shared" si="52"/>
        <v>19.400000000000006</v>
      </c>
      <c r="R82" s="467">
        <f t="shared" si="53"/>
        <v>0</v>
      </c>
      <c r="S82" s="469"/>
      <c r="T82" s="470"/>
      <c r="U82" s="470"/>
      <c r="V82" s="470"/>
      <c r="W82" s="471"/>
      <c r="X82" s="470"/>
    </row>
    <row r="83" spans="1:24" s="463" customFormat="1" ht="63">
      <c r="A83" s="600" t="s">
        <v>7</v>
      </c>
      <c r="B83" s="458"/>
      <c r="C83" s="456"/>
      <c r="D83" s="456"/>
      <c r="E83" s="459">
        <f>L83-D83</f>
        <v>416.9</v>
      </c>
      <c r="F83" s="465" t="e">
        <f>L83/D83*100</f>
        <v>#DIV/0!</v>
      </c>
      <c r="G83" s="456">
        <v>416.9</v>
      </c>
      <c r="H83" s="456">
        <f t="shared" si="47"/>
        <v>382.2</v>
      </c>
      <c r="I83" s="522">
        <f t="shared" si="55"/>
        <v>382.2</v>
      </c>
      <c r="J83" s="456">
        <v>416.9</v>
      </c>
      <c r="K83" s="522">
        <v>416.9</v>
      </c>
      <c r="L83" s="456">
        <v>416.9</v>
      </c>
      <c r="M83" s="456" t="e">
        <f>L83-#REF!</f>
        <v>#REF!</v>
      </c>
      <c r="N83" s="466">
        <f t="shared" si="37"/>
        <v>100</v>
      </c>
      <c r="O83" s="467">
        <f t="shared" si="16"/>
        <v>109.07901622187337</v>
      </c>
      <c r="P83" s="466">
        <f t="shared" si="17"/>
        <v>100</v>
      </c>
      <c r="Q83" s="467">
        <f t="shared" si="52"/>
        <v>34.69999999999999</v>
      </c>
      <c r="R83" s="467">
        <f t="shared" si="53"/>
        <v>0</v>
      </c>
      <c r="S83" s="469"/>
      <c r="T83" s="470"/>
      <c r="U83" s="470"/>
      <c r="V83" s="470"/>
      <c r="W83" s="471"/>
      <c r="X83" s="470"/>
    </row>
    <row r="84" spans="1:24" s="463" customFormat="1" ht="31.5">
      <c r="A84" s="600" t="s">
        <v>14</v>
      </c>
      <c r="B84" s="458"/>
      <c r="C84" s="456"/>
      <c r="D84" s="456"/>
      <c r="E84" s="459">
        <f>L84-D84</f>
        <v>100</v>
      </c>
      <c r="F84" s="465" t="e">
        <f>L84/D84*100</f>
        <v>#DIV/0!</v>
      </c>
      <c r="G84" s="456">
        <v>100</v>
      </c>
      <c r="H84" s="456">
        <f t="shared" si="47"/>
        <v>91.7</v>
      </c>
      <c r="I84" s="522">
        <f t="shared" si="55"/>
        <v>91.7</v>
      </c>
      <c r="J84" s="456">
        <v>200</v>
      </c>
      <c r="K84" s="522">
        <v>200</v>
      </c>
      <c r="L84" s="456">
        <v>100</v>
      </c>
      <c r="M84" s="456" t="e">
        <f>L84-#REF!</f>
        <v>#REF!</v>
      </c>
      <c r="N84" s="466">
        <f>L84/G84*100</f>
        <v>100</v>
      </c>
      <c r="O84" s="467">
        <f aca="true" t="shared" si="56" ref="O84:O89">L84/I84*100</f>
        <v>109.05125408942202</v>
      </c>
      <c r="P84" s="466">
        <f aca="true" t="shared" si="57" ref="P84:P89">L84/K84*100</f>
        <v>50</v>
      </c>
      <c r="Q84" s="467">
        <f>L84-I84</f>
        <v>8.299999999999997</v>
      </c>
      <c r="R84" s="467">
        <f>L84-K84</f>
        <v>-100</v>
      </c>
      <c r="S84" s="469"/>
      <c r="T84" s="470"/>
      <c r="U84" s="470"/>
      <c r="V84" s="470"/>
      <c r="W84" s="471"/>
      <c r="X84" s="470"/>
    </row>
    <row r="85" spans="1:24" s="463" customFormat="1" ht="94.5">
      <c r="A85" s="600" t="s">
        <v>15</v>
      </c>
      <c r="B85" s="458"/>
      <c r="C85" s="456"/>
      <c r="D85" s="456"/>
      <c r="E85" s="459">
        <f>L85-D85</f>
        <v>38.8</v>
      </c>
      <c r="F85" s="465" t="e">
        <f>L85/D85*100</f>
        <v>#DIV/0!</v>
      </c>
      <c r="G85" s="456">
        <v>38.8</v>
      </c>
      <c r="H85" s="456">
        <f t="shared" si="47"/>
        <v>35.6</v>
      </c>
      <c r="I85" s="522">
        <f t="shared" si="55"/>
        <v>35.6</v>
      </c>
      <c r="J85" s="456">
        <v>38.8</v>
      </c>
      <c r="K85" s="522">
        <v>38.8</v>
      </c>
      <c r="L85" s="456">
        <v>38.8</v>
      </c>
      <c r="M85" s="456" t="e">
        <f>L85-#REF!</f>
        <v>#REF!</v>
      </c>
      <c r="N85" s="466">
        <f>L85/G85*100</f>
        <v>100</v>
      </c>
      <c r="O85" s="467">
        <f t="shared" si="56"/>
        <v>108.98876404494379</v>
      </c>
      <c r="P85" s="466">
        <f t="shared" si="57"/>
        <v>100</v>
      </c>
      <c r="Q85" s="467">
        <f>L85-I85</f>
        <v>3.1999999999999957</v>
      </c>
      <c r="R85" s="467">
        <f>L85-K85</f>
        <v>0</v>
      </c>
      <c r="S85" s="469"/>
      <c r="T85" s="470"/>
      <c r="U85" s="470"/>
      <c r="V85" s="470"/>
      <c r="W85" s="471"/>
      <c r="X85" s="470"/>
    </row>
    <row r="86" spans="1:24" s="463" customFormat="1" ht="78.75">
      <c r="A86" s="600" t="s">
        <v>175</v>
      </c>
      <c r="B86" s="458"/>
      <c r="C86" s="456"/>
      <c r="D86" s="456"/>
      <c r="E86" s="459">
        <f>L86-D86</f>
        <v>60</v>
      </c>
      <c r="F86" s="465" t="e">
        <f>L86/D86*100</f>
        <v>#DIV/0!</v>
      </c>
      <c r="G86" s="456">
        <v>60</v>
      </c>
      <c r="H86" s="456">
        <f t="shared" si="47"/>
        <v>55</v>
      </c>
      <c r="I86" s="522">
        <f t="shared" si="55"/>
        <v>55</v>
      </c>
      <c r="J86" s="456">
        <v>60</v>
      </c>
      <c r="K86" s="522">
        <v>60</v>
      </c>
      <c r="L86" s="456">
        <v>60</v>
      </c>
      <c r="M86" s="456" t="e">
        <f>L86-#REF!</f>
        <v>#REF!</v>
      </c>
      <c r="N86" s="466">
        <f>L86/G86*100</f>
        <v>100</v>
      </c>
      <c r="O86" s="467">
        <f t="shared" si="56"/>
        <v>109.09090909090908</v>
      </c>
      <c r="P86" s="466">
        <f t="shared" si="57"/>
        <v>100</v>
      </c>
      <c r="Q86" s="467">
        <f>L86-I86</f>
        <v>5</v>
      </c>
      <c r="R86" s="467">
        <f>L86-K86</f>
        <v>0</v>
      </c>
      <c r="S86" s="469"/>
      <c r="T86" s="470"/>
      <c r="U86" s="470"/>
      <c r="V86" s="470"/>
      <c r="W86" s="471"/>
      <c r="X86" s="470"/>
    </row>
    <row r="87" spans="1:24" s="463" customFormat="1" ht="63">
      <c r="A87" s="464" t="s">
        <v>0</v>
      </c>
      <c r="B87" s="458">
        <v>41051200</v>
      </c>
      <c r="C87" s="456">
        <v>579.3</v>
      </c>
      <c r="D87" s="456">
        <v>579.3</v>
      </c>
      <c r="E87" s="459">
        <f aca="true" t="shared" si="58" ref="E87:E113">L87-D87</f>
        <v>144.4000000000001</v>
      </c>
      <c r="F87" s="459">
        <f t="shared" si="51"/>
        <v>124.92663559468326</v>
      </c>
      <c r="G87" s="456">
        <f>968.7+108-92.9</f>
        <v>983.8000000000001</v>
      </c>
      <c r="H87" s="456">
        <f t="shared" si="47"/>
        <v>901.8</v>
      </c>
      <c r="I87" s="522">
        <f t="shared" si="55"/>
        <v>901.8</v>
      </c>
      <c r="J87" s="456">
        <v>768.7</v>
      </c>
      <c r="K87" s="522">
        <v>768.7</v>
      </c>
      <c r="L87" s="456">
        <v>723.7</v>
      </c>
      <c r="M87" s="456" t="e">
        <f>L87-#REF!</f>
        <v>#REF!</v>
      </c>
      <c r="N87" s="466">
        <f>L87/G87*100</f>
        <v>73.56169953242528</v>
      </c>
      <c r="O87" s="467">
        <f t="shared" si="56"/>
        <v>80.25060989132847</v>
      </c>
      <c r="P87" s="466">
        <f t="shared" si="57"/>
        <v>94.14596071289189</v>
      </c>
      <c r="Q87" s="467">
        <f>L87-I87</f>
        <v>-178.0999999999999</v>
      </c>
      <c r="R87" s="467">
        <f>L87-K87</f>
        <v>-45</v>
      </c>
      <c r="S87" s="469"/>
      <c r="T87" s="470"/>
      <c r="U87" s="470"/>
      <c r="V87" s="470"/>
      <c r="W87" s="471"/>
      <c r="X87" s="470"/>
    </row>
    <row r="88" spans="1:24" s="463" customFormat="1" ht="73.5" customHeight="1">
      <c r="A88" s="464" t="s">
        <v>16</v>
      </c>
      <c r="B88" s="458">
        <v>41051400</v>
      </c>
      <c r="C88" s="456"/>
      <c r="D88" s="456"/>
      <c r="E88" s="459">
        <f>L88-D88</f>
        <v>5478.7</v>
      </c>
      <c r="F88" s="465" t="e">
        <f>L88/D88*100</f>
        <v>#DIV/0!</v>
      </c>
      <c r="G88" s="456">
        <v>5478.7</v>
      </c>
      <c r="H88" s="456">
        <f t="shared" si="47"/>
        <v>5022.1</v>
      </c>
      <c r="I88" s="522">
        <f t="shared" si="55"/>
        <v>5022.1</v>
      </c>
      <c r="J88" s="456">
        <v>5478.7</v>
      </c>
      <c r="K88" s="522">
        <v>5478.7</v>
      </c>
      <c r="L88" s="456">
        <v>5478.7</v>
      </c>
      <c r="M88" s="456" t="e">
        <f>L88-#REF!</f>
        <v>#REF!</v>
      </c>
      <c r="N88" s="466">
        <f>L88/G88*100</f>
        <v>100</v>
      </c>
      <c r="O88" s="467">
        <f t="shared" si="56"/>
        <v>109.09181418131857</v>
      </c>
      <c r="P88" s="466">
        <f t="shared" si="57"/>
        <v>100</v>
      </c>
      <c r="Q88" s="467">
        <f>L88-I88</f>
        <v>456.59999999999945</v>
      </c>
      <c r="R88" s="467">
        <f>L88-K88</f>
        <v>0</v>
      </c>
      <c r="S88" s="469"/>
      <c r="T88" s="470"/>
      <c r="U88" s="470"/>
      <c r="V88" s="470"/>
      <c r="W88" s="471"/>
      <c r="X88" s="470"/>
    </row>
    <row r="89" spans="1:24" s="463" customFormat="1" ht="47.25">
      <c r="A89" s="464" t="s">
        <v>340</v>
      </c>
      <c r="B89" s="458">
        <v>41051500</v>
      </c>
      <c r="C89" s="456">
        <f>C90+C91+C92+C93+C95+C94</f>
        <v>22528.1</v>
      </c>
      <c r="D89" s="456">
        <f>D90+D91+D92+D93+D95+D94</f>
        <v>17851.6</v>
      </c>
      <c r="E89" s="459">
        <f t="shared" si="58"/>
        <v>-160.59999999999854</v>
      </c>
      <c r="F89" s="459">
        <f t="shared" si="51"/>
        <v>99.10036075197742</v>
      </c>
      <c r="G89" s="456">
        <f aca="true" t="shared" si="59" ref="G89:L89">G90+G91+G92+G93+G95+G94</f>
        <v>22407.8</v>
      </c>
      <c r="H89" s="456">
        <f t="shared" si="59"/>
        <v>20540.5</v>
      </c>
      <c r="I89" s="522">
        <f t="shared" si="59"/>
        <v>20540.5</v>
      </c>
      <c r="J89" s="456">
        <f t="shared" si="59"/>
        <v>23875.6</v>
      </c>
      <c r="K89" s="522">
        <f t="shared" si="59"/>
        <v>23875.6</v>
      </c>
      <c r="L89" s="456">
        <f t="shared" si="59"/>
        <v>17691</v>
      </c>
      <c r="M89" s="456" t="e">
        <f>L89-#REF!</f>
        <v>#REF!</v>
      </c>
      <c r="N89" s="456">
        <f t="shared" si="37"/>
        <v>78.95018698845938</v>
      </c>
      <c r="O89" s="459">
        <f t="shared" si="56"/>
        <v>86.12740683040822</v>
      </c>
      <c r="P89" s="456">
        <f t="shared" si="57"/>
        <v>74.09656720668801</v>
      </c>
      <c r="Q89" s="459">
        <f t="shared" si="52"/>
        <v>-2849.5</v>
      </c>
      <c r="R89" s="459">
        <f t="shared" si="53"/>
        <v>-6184.5999999999985</v>
      </c>
      <c r="S89" s="469"/>
      <c r="T89" s="470"/>
      <c r="U89" s="470"/>
      <c r="V89" s="470"/>
      <c r="W89" s="471"/>
      <c r="X89" s="470"/>
    </row>
    <row r="90" spans="1:24" s="463" customFormat="1" ht="63">
      <c r="A90" s="464" t="s">
        <v>341</v>
      </c>
      <c r="B90" s="458"/>
      <c r="C90" s="456">
        <v>359.8</v>
      </c>
      <c r="D90" s="456">
        <v>294</v>
      </c>
      <c r="E90" s="459">
        <f t="shared" si="58"/>
        <v>-294</v>
      </c>
      <c r="F90" s="459">
        <f t="shared" si="51"/>
        <v>0</v>
      </c>
      <c r="G90" s="456"/>
      <c r="H90" s="459">
        <f t="shared" si="47"/>
        <v>0</v>
      </c>
      <c r="I90" s="522">
        <f aca="true" t="shared" si="60" ref="I90:I97">ROUND((G90*$T$7+G90*$T$8),1)</f>
        <v>0</v>
      </c>
      <c r="J90" s="456"/>
      <c r="K90" s="522"/>
      <c r="L90" s="456"/>
      <c r="M90" s="456" t="e">
        <f>L90-#REF!</f>
        <v>#REF!</v>
      </c>
      <c r="N90" s="456"/>
      <c r="O90" s="459"/>
      <c r="P90" s="456"/>
      <c r="Q90" s="459"/>
      <c r="R90" s="459">
        <f t="shared" si="53"/>
        <v>0</v>
      </c>
      <c r="S90" s="469"/>
      <c r="T90" s="470"/>
      <c r="U90" s="470"/>
      <c r="V90" s="470"/>
      <c r="W90" s="471"/>
      <c r="X90" s="470"/>
    </row>
    <row r="91" spans="1:24" s="463" customFormat="1" ht="78.75">
      <c r="A91" s="464" t="s">
        <v>342</v>
      </c>
      <c r="B91" s="458"/>
      <c r="C91" s="456">
        <v>600.7</v>
      </c>
      <c r="D91" s="456">
        <v>305.8</v>
      </c>
      <c r="E91" s="459">
        <f t="shared" si="58"/>
        <v>-305.8</v>
      </c>
      <c r="F91" s="465">
        <f t="shared" si="51"/>
        <v>0</v>
      </c>
      <c r="G91" s="456"/>
      <c r="H91" s="459">
        <f t="shared" si="47"/>
        <v>0</v>
      </c>
      <c r="I91" s="522">
        <f t="shared" si="60"/>
        <v>0</v>
      </c>
      <c r="J91" s="456"/>
      <c r="K91" s="522"/>
      <c r="L91" s="456"/>
      <c r="M91" s="456" t="e">
        <f>L91-#REF!</f>
        <v>#REF!</v>
      </c>
      <c r="N91" s="456"/>
      <c r="O91" s="459"/>
      <c r="P91" s="456"/>
      <c r="Q91" s="459"/>
      <c r="R91" s="459">
        <f t="shared" si="53"/>
        <v>0</v>
      </c>
      <c r="S91" s="469"/>
      <c r="T91" s="470"/>
      <c r="U91" s="470"/>
      <c r="V91" s="470"/>
      <c r="W91" s="471"/>
      <c r="X91" s="470"/>
    </row>
    <row r="92" spans="1:24" s="463" customFormat="1" ht="31.5">
      <c r="A92" s="464" t="s">
        <v>343</v>
      </c>
      <c r="B92" s="458"/>
      <c r="C92" s="456">
        <v>13421.3</v>
      </c>
      <c r="D92" s="456">
        <v>11306.9</v>
      </c>
      <c r="E92" s="459">
        <f t="shared" si="58"/>
        <v>-1098.7999999999993</v>
      </c>
      <c r="F92" s="459">
        <f t="shared" si="51"/>
        <v>90.2820401701616</v>
      </c>
      <c r="G92" s="456">
        <f>10910.6+2545</f>
        <v>13455.6</v>
      </c>
      <c r="H92" s="459">
        <f>ROUND(G92*$T$6,1)</f>
        <v>12334.3</v>
      </c>
      <c r="I92" s="522">
        <f>ROUND((G92*$T$7+G92*$T$8),1)</f>
        <v>12334.3</v>
      </c>
      <c r="J92" s="456">
        <v>13455.6</v>
      </c>
      <c r="K92" s="522">
        <v>13455.6</v>
      </c>
      <c r="L92" s="456">
        <v>10208.1</v>
      </c>
      <c r="M92" s="456" t="e">
        <f>L92-#REF!</f>
        <v>#REF!</v>
      </c>
      <c r="N92" s="456">
        <f t="shared" si="37"/>
        <v>75.86506733256041</v>
      </c>
      <c r="O92" s="459">
        <f>L92/I92*100</f>
        <v>82.76189163552047</v>
      </c>
      <c r="P92" s="456">
        <f>L92/K92*100</f>
        <v>75.86506733256041</v>
      </c>
      <c r="Q92" s="459">
        <f t="shared" si="52"/>
        <v>-2126.199999999999</v>
      </c>
      <c r="R92" s="459">
        <f t="shared" si="53"/>
        <v>-3247.5</v>
      </c>
      <c r="S92" s="469"/>
      <c r="T92" s="470"/>
      <c r="U92" s="470"/>
      <c r="V92" s="470"/>
      <c r="W92" s="471"/>
      <c r="X92" s="470"/>
    </row>
    <row r="93" spans="1:24" s="463" customFormat="1" ht="31.5">
      <c r="A93" s="464" t="s">
        <v>344</v>
      </c>
      <c r="B93" s="458"/>
      <c r="C93" s="456">
        <v>7805.3</v>
      </c>
      <c r="D93" s="456">
        <v>5944.9</v>
      </c>
      <c r="E93" s="459">
        <f t="shared" si="58"/>
        <v>590.2000000000007</v>
      </c>
      <c r="F93" s="459">
        <f t="shared" si="51"/>
        <v>109.9278373059261</v>
      </c>
      <c r="G93" s="456">
        <f>7131.5+366.4</f>
        <v>7497.9</v>
      </c>
      <c r="H93" s="459">
        <f t="shared" si="47"/>
        <v>6873.1</v>
      </c>
      <c r="I93" s="522">
        <f t="shared" si="60"/>
        <v>6873.1</v>
      </c>
      <c r="J93" s="456">
        <v>8497.9</v>
      </c>
      <c r="K93" s="522">
        <v>8497.9</v>
      </c>
      <c r="L93" s="456">
        <v>6535.1</v>
      </c>
      <c r="M93" s="456" t="e">
        <f>L93-#REF!</f>
        <v>#REF!</v>
      </c>
      <c r="N93" s="456">
        <f t="shared" si="37"/>
        <v>87.15907120660452</v>
      </c>
      <c r="O93" s="459">
        <f>L93/I93*100</f>
        <v>95.08227728390392</v>
      </c>
      <c r="P93" s="456">
        <f>L93/K93*100</f>
        <v>76.90252886007131</v>
      </c>
      <c r="Q93" s="459">
        <f t="shared" si="52"/>
        <v>-338</v>
      </c>
      <c r="R93" s="459">
        <f t="shared" si="53"/>
        <v>-1962.7999999999993</v>
      </c>
      <c r="S93" s="469"/>
      <c r="T93" s="470"/>
      <c r="U93" s="470"/>
      <c r="V93" s="470"/>
      <c r="W93" s="471"/>
      <c r="X93" s="470"/>
    </row>
    <row r="94" spans="1:24" s="463" customFormat="1" ht="20.25">
      <c r="A94" s="464" t="s">
        <v>177</v>
      </c>
      <c r="B94" s="458"/>
      <c r="C94" s="456"/>
      <c r="D94" s="456"/>
      <c r="E94" s="459">
        <f>L94-D94</f>
        <v>0</v>
      </c>
      <c r="F94" s="548" t="e">
        <f>L94/D94*100</f>
        <v>#DIV/0!</v>
      </c>
      <c r="G94" s="456">
        <v>300</v>
      </c>
      <c r="H94" s="459">
        <f>ROUND(G94*$T$6,1)</f>
        <v>275</v>
      </c>
      <c r="I94" s="522">
        <f>ROUND((G94*$T$7+G94*$T$8),1)</f>
        <v>275</v>
      </c>
      <c r="J94" s="456">
        <v>767.8</v>
      </c>
      <c r="K94" s="522">
        <v>767.8</v>
      </c>
      <c r="L94" s="456"/>
      <c r="M94" s="456">
        <f>L94</f>
        <v>0</v>
      </c>
      <c r="N94" s="456">
        <f>L94/G94*100</f>
        <v>0</v>
      </c>
      <c r="O94" s="459">
        <f>L94/I94*100</f>
        <v>0</v>
      </c>
      <c r="P94" s="533">
        <f>L94/K94*100</f>
        <v>0</v>
      </c>
      <c r="Q94" s="459">
        <f>L94-I94</f>
        <v>-275</v>
      </c>
      <c r="R94" s="459">
        <f>L94-K94</f>
        <v>-767.8</v>
      </c>
      <c r="S94" s="469"/>
      <c r="T94" s="470"/>
      <c r="U94" s="470"/>
      <c r="V94" s="470"/>
      <c r="W94" s="471"/>
      <c r="X94" s="470"/>
    </row>
    <row r="95" spans="1:24" s="463" customFormat="1" ht="33" customHeight="1">
      <c r="A95" s="464" t="s">
        <v>166</v>
      </c>
      <c r="B95" s="458"/>
      <c r="C95" s="456">
        <f>C96</f>
        <v>341</v>
      </c>
      <c r="D95" s="456">
        <f>D96</f>
        <v>0</v>
      </c>
      <c r="E95" s="456">
        <f>E96</f>
        <v>947.8</v>
      </c>
      <c r="F95" s="532" t="e">
        <f>F96</f>
        <v>#DIV/0!</v>
      </c>
      <c r="G95" s="456">
        <f>G96</f>
        <v>1154.3</v>
      </c>
      <c r="H95" s="459">
        <f t="shared" si="47"/>
        <v>1058.1</v>
      </c>
      <c r="I95" s="522">
        <f t="shared" si="60"/>
        <v>1058.1</v>
      </c>
      <c r="J95" s="456">
        <f aca="true" t="shared" si="61" ref="J95:R95">J96</f>
        <v>1154.3</v>
      </c>
      <c r="K95" s="522">
        <f t="shared" si="61"/>
        <v>1154.3</v>
      </c>
      <c r="L95" s="456">
        <f t="shared" si="61"/>
        <v>947.8</v>
      </c>
      <c r="M95" s="456" t="e">
        <f>L95-#REF!</f>
        <v>#REF!</v>
      </c>
      <c r="N95" s="456">
        <f t="shared" si="61"/>
        <v>82.11036992116433</v>
      </c>
      <c r="O95" s="456">
        <f t="shared" si="61"/>
        <v>89.57565447500237</v>
      </c>
      <c r="P95" s="456">
        <f t="shared" si="61"/>
        <v>82.11036992116433</v>
      </c>
      <c r="Q95" s="456">
        <f t="shared" si="61"/>
        <v>-110.29999999999995</v>
      </c>
      <c r="R95" s="456">
        <f t="shared" si="61"/>
        <v>-206.5</v>
      </c>
      <c r="S95" s="469"/>
      <c r="T95" s="470"/>
      <c r="U95" s="470"/>
      <c r="V95" s="470"/>
      <c r="W95" s="471"/>
      <c r="X95" s="470"/>
    </row>
    <row r="96" spans="1:24" s="463" customFormat="1" ht="31.5">
      <c r="A96" s="464" t="s">
        <v>167</v>
      </c>
      <c r="B96" s="458"/>
      <c r="C96" s="456">
        <v>341</v>
      </c>
      <c r="D96" s="456"/>
      <c r="E96" s="459">
        <f t="shared" si="58"/>
        <v>947.8</v>
      </c>
      <c r="F96" s="465" t="e">
        <f t="shared" si="51"/>
        <v>#DIV/0!</v>
      </c>
      <c r="G96" s="456">
        <v>1154.3</v>
      </c>
      <c r="H96" s="459">
        <f t="shared" si="47"/>
        <v>1058.1</v>
      </c>
      <c r="I96" s="522">
        <f t="shared" si="60"/>
        <v>1058.1</v>
      </c>
      <c r="J96" s="456">
        <v>1154.3</v>
      </c>
      <c r="K96" s="522">
        <v>1154.3</v>
      </c>
      <c r="L96" s="456">
        <v>947.8</v>
      </c>
      <c r="M96" s="456" t="e">
        <f>L96-#REF!</f>
        <v>#REF!</v>
      </c>
      <c r="N96" s="456">
        <f t="shared" si="37"/>
        <v>82.11036992116433</v>
      </c>
      <c r="O96" s="459">
        <f aca="true" t="shared" si="62" ref="O96:O102">L96/I96*100</f>
        <v>89.57565447500237</v>
      </c>
      <c r="P96" s="456">
        <f aca="true" t="shared" si="63" ref="P96:P102">L96/K96*100</f>
        <v>82.11036992116433</v>
      </c>
      <c r="Q96" s="459">
        <f t="shared" si="52"/>
        <v>-110.29999999999995</v>
      </c>
      <c r="R96" s="459">
        <f t="shared" si="53"/>
        <v>-206.5</v>
      </c>
      <c r="S96" s="469"/>
      <c r="T96" s="470"/>
      <c r="U96" s="470"/>
      <c r="V96" s="470"/>
      <c r="W96" s="471"/>
      <c r="X96" s="470"/>
    </row>
    <row r="97" spans="1:24" s="463" customFormat="1" ht="63">
      <c r="A97" s="464" t="s">
        <v>345</v>
      </c>
      <c r="B97" s="458">
        <v>41052000</v>
      </c>
      <c r="C97" s="456">
        <v>3320.6</v>
      </c>
      <c r="D97" s="456">
        <v>3320.6</v>
      </c>
      <c r="E97" s="459">
        <f t="shared" si="58"/>
        <v>3522.7000000000003</v>
      </c>
      <c r="F97" s="459">
        <f t="shared" si="51"/>
        <v>206.08624947298685</v>
      </c>
      <c r="G97" s="456">
        <f>6911.5-214.9+206</f>
        <v>6902.6</v>
      </c>
      <c r="H97" s="459">
        <f t="shared" si="47"/>
        <v>6327.4</v>
      </c>
      <c r="I97" s="522">
        <f t="shared" si="60"/>
        <v>6327.4</v>
      </c>
      <c r="J97" s="456">
        <v>6971.6</v>
      </c>
      <c r="K97" s="522">
        <v>6971.6</v>
      </c>
      <c r="L97" s="456">
        <v>6843.3</v>
      </c>
      <c r="M97" s="456" t="e">
        <f>L97-#REF!</f>
        <v>#REF!</v>
      </c>
      <c r="N97" s="456">
        <f t="shared" si="37"/>
        <v>99.1409034276939</v>
      </c>
      <c r="O97" s="459">
        <f t="shared" si="62"/>
        <v>108.15342794828841</v>
      </c>
      <c r="P97" s="456">
        <f t="shared" si="63"/>
        <v>98.15967640139996</v>
      </c>
      <c r="Q97" s="459">
        <f t="shared" si="52"/>
        <v>515.9000000000005</v>
      </c>
      <c r="R97" s="459">
        <f t="shared" si="53"/>
        <v>-128.30000000000018</v>
      </c>
      <c r="S97" s="469"/>
      <c r="T97" s="470"/>
      <c r="U97" s="470"/>
      <c r="V97" s="470"/>
      <c r="W97" s="471"/>
      <c r="X97" s="470"/>
    </row>
    <row r="98" spans="1:24" s="463" customFormat="1" ht="63" hidden="1">
      <c r="A98" s="464" t="s">
        <v>357</v>
      </c>
      <c r="B98" s="458">
        <v>41052300</v>
      </c>
      <c r="C98" s="456"/>
      <c r="D98" s="456"/>
      <c r="E98" s="459">
        <f t="shared" si="58"/>
        <v>0</v>
      </c>
      <c r="F98" s="530" t="e">
        <f t="shared" si="51"/>
        <v>#DIV/0!</v>
      </c>
      <c r="G98" s="456"/>
      <c r="H98" s="459">
        <f>ROUND(G98*$T$6,1)</f>
        <v>0</v>
      </c>
      <c r="I98" s="522">
        <f>G98/12*6+G98/12*18/22</f>
        <v>0</v>
      </c>
      <c r="J98" s="456"/>
      <c r="K98" s="522"/>
      <c r="L98" s="456">
        <v>0</v>
      </c>
      <c r="M98" s="456" t="e">
        <f>L98-#REF!</f>
        <v>#REF!</v>
      </c>
      <c r="N98" s="532" t="e">
        <f t="shared" si="37"/>
        <v>#DIV/0!</v>
      </c>
      <c r="O98" s="465" t="e">
        <f t="shared" si="62"/>
        <v>#DIV/0!</v>
      </c>
      <c r="P98" s="532" t="e">
        <f t="shared" si="63"/>
        <v>#DIV/0!</v>
      </c>
      <c r="Q98" s="459">
        <f t="shared" si="52"/>
        <v>0</v>
      </c>
      <c r="R98" s="459">
        <f t="shared" si="53"/>
        <v>0</v>
      </c>
      <c r="S98" s="469"/>
      <c r="T98" s="470"/>
      <c r="U98" s="470"/>
      <c r="V98" s="470"/>
      <c r="W98" s="471"/>
      <c r="X98" s="470"/>
    </row>
    <row r="99" spans="1:24" s="463" customFormat="1" ht="63">
      <c r="A99" s="464" t="s">
        <v>346</v>
      </c>
      <c r="B99" s="458">
        <v>41053300</v>
      </c>
      <c r="C99" s="456">
        <v>130.1</v>
      </c>
      <c r="D99" s="456">
        <v>130.1</v>
      </c>
      <c r="E99" s="459">
        <f t="shared" si="58"/>
        <v>96.4</v>
      </c>
      <c r="F99" s="459">
        <f t="shared" si="51"/>
        <v>174.09684857801693</v>
      </c>
      <c r="G99" s="456">
        <f>131.3+78.4+16.8</f>
        <v>226.50000000000003</v>
      </c>
      <c r="H99" s="459">
        <f t="shared" si="47"/>
        <v>207.6</v>
      </c>
      <c r="I99" s="522">
        <f>ROUND((G99*$T$7+G99*$T$8),1)</f>
        <v>207.6</v>
      </c>
      <c r="J99" s="456">
        <v>226.5</v>
      </c>
      <c r="K99" s="522">
        <v>226.5</v>
      </c>
      <c r="L99" s="456">
        <v>226.5</v>
      </c>
      <c r="M99" s="456" t="e">
        <f>L99-#REF!</f>
        <v>#REF!</v>
      </c>
      <c r="N99" s="456">
        <f t="shared" si="37"/>
        <v>99.99999999999999</v>
      </c>
      <c r="O99" s="459">
        <f t="shared" si="62"/>
        <v>109.10404624277457</v>
      </c>
      <c r="P99" s="456">
        <f t="shared" si="63"/>
        <v>100</v>
      </c>
      <c r="Q99" s="459">
        <f t="shared" si="52"/>
        <v>18.900000000000006</v>
      </c>
      <c r="R99" s="459">
        <f t="shared" si="53"/>
        <v>0</v>
      </c>
      <c r="S99" s="469"/>
      <c r="T99" s="470"/>
      <c r="U99" s="470"/>
      <c r="V99" s="470"/>
      <c r="W99" s="471"/>
      <c r="X99" s="470"/>
    </row>
    <row r="100" spans="1:24" s="463" customFormat="1" ht="31.5">
      <c r="A100" s="464" t="s">
        <v>347</v>
      </c>
      <c r="B100" s="458">
        <v>41053900</v>
      </c>
      <c r="C100" s="456">
        <f>SUM(C101:C116)</f>
        <v>4457.5</v>
      </c>
      <c r="D100" s="456">
        <f>SUM(D101:D116)</f>
        <v>3754.0999999999995</v>
      </c>
      <c r="E100" s="459">
        <f t="shared" si="58"/>
        <v>2348.500000000001</v>
      </c>
      <c r="F100" s="459">
        <f t="shared" si="51"/>
        <v>162.55826962520982</v>
      </c>
      <c r="G100" s="456">
        <f aca="true" t="shared" si="64" ref="G100:M100">SUM(G101:G116)</f>
        <v>6584.8</v>
      </c>
      <c r="H100" s="456">
        <f t="shared" si="64"/>
        <v>6036</v>
      </c>
      <c r="I100" s="522">
        <f t="shared" si="64"/>
        <v>6036</v>
      </c>
      <c r="J100" s="456">
        <f t="shared" si="64"/>
        <v>6624.8</v>
      </c>
      <c r="K100" s="522">
        <f t="shared" si="64"/>
        <v>6624.8</v>
      </c>
      <c r="L100" s="456">
        <f t="shared" si="64"/>
        <v>6102.6</v>
      </c>
      <c r="M100" s="456" t="e">
        <f t="shared" si="64"/>
        <v>#REF!</v>
      </c>
      <c r="N100" s="456">
        <f t="shared" si="37"/>
        <v>92.67707447454745</v>
      </c>
      <c r="O100" s="459">
        <f t="shared" si="62"/>
        <v>101.10337972166998</v>
      </c>
      <c r="P100" s="456">
        <f t="shared" si="63"/>
        <v>92.11749788672866</v>
      </c>
      <c r="Q100" s="459">
        <f t="shared" si="52"/>
        <v>66.60000000000036</v>
      </c>
      <c r="R100" s="459">
        <f t="shared" si="53"/>
        <v>-522.1999999999998</v>
      </c>
      <c r="S100" s="469"/>
      <c r="T100" s="470"/>
      <c r="U100" s="470"/>
      <c r="V100" s="470"/>
      <c r="W100" s="471"/>
      <c r="X100" s="470"/>
    </row>
    <row r="101" spans="1:24" s="463" customFormat="1" ht="142.5" customHeight="1">
      <c r="A101" s="464" t="s">
        <v>174</v>
      </c>
      <c r="B101" s="458"/>
      <c r="C101" s="456">
        <v>910.6</v>
      </c>
      <c r="D101" s="456">
        <v>810.7</v>
      </c>
      <c r="E101" s="459">
        <f t="shared" si="58"/>
        <v>91.19999999999993</v>
      </c>
      <c r="F101" s="459">
        <f t="shared" si="51"/>
        <v>111.24953743678302</v>
      </c>
      <c r="G101" s="456">
        <f>648.9+121+132.3</f>
        <v>902.2</v>
      </c>
      <c r="H101" s="456">
        <f t="shared" si="47"/>
        <v>827</v>
      </c>
      <c r="I101" s="522">
        <f>ROUND((G101*$T$7+G101*$T$8),1)</f>
        <v>827</v>
      </c>
      <c r="J101" s="456">
        <v>902.2</v>
      </c>
      <c r="K101" s="522">
        <v>902.2</v>
      </c>
      <c r="L101" s="456">
        <v>901.9</v>
      </c>
      <c r="M101" s="456" t="e">
        <f>L101-#REF!</f>
        <v>#REF!</v>
      </c>
      <c r="N101" s="456">
        <f>L101/G101*100</f>
        <v>99.96674794945687</v>
      </c>
      <c r="O101" s="459">
        <f t="shared" si="62"/>
        <v>109.05683192261183</v>
      </c>
      <c r="P101" s="456">
        <f t="shared" si="63"/>
        <v>99.96674794945687</v>
      </c>
      <c r="Q101" s="459">
        <f>L101-I101</f>
        <v>74.89999999999998</v>
      </c>
      <c r="R101" s="459">
        <f>L101-K101</f>
        <v>-0.3000000000000682</v>
      </c>
      <c r="S101" s="469"/>
      <c r="T101" s="470"/>
      <c r="U101" s="470"/>
      <c r="V101" s="470"/>
      <c r="W101" s="471"/>
      <c r="X101" s="470"/>
    </row>
    <row r="102" spans="1:24" s="463" customFormat="1" ht="31.5" customHeight="1">
      <c r="A102" s="464" t="s">
        <v>349</v>
      </c>
      <c r="B102" s="458"/>
      <c r="C102" s="456">
        <v>361.7</v>
      </c>
      <c r="D102" s="456">
        <v>310.8</v>
      </c>
      <c r="E102" s="459">
        <f t="shared" si="58"/>
        <v>56.69999999999999</v>
      </c>
      <c r="F102" s="459">
        <f t="shared" si="51"/>
        <v>118.24324324324324</v>
      </c>
      <c r="G102" s="456">
        <f>320.9+12.2+45.9</f>
        <v>378.99999999999994</v>
      </c>
      <c r="H102" s="456">
        <f t="shared" si="47"/>
        <v>347.4</v>
      </c>
      <c r="I102" s="522">
        <f aca="true" t="shared" si="65" ref="I102:I116">ROUND((G102*$T$7+G102*$T$8),1)</f>
        <v>347.4</v>
      </c>
      <c r="J102" s="456">
        <v>409</v>
      </c>
      <c r="K102" s="522">
        <v>409</v>
      </c>
      <c r="L102" s="456">
        <v>367.5</v>
      </c>
      <c r="M102" s="456" t="e">
        <f>L102-#REF!</f>
        <v>#REF!</v>
      </c>
      <c r="N102" s="456">
        <f>L102/G102*100</f>
        <v>96.96569920844328</v>
      </c>
      <c r="O102" s="459">
        <f t="shared" si="62"/>
        <v>105.78583765112263</v>
      </c>
      <c r="P102" s="456">
        <f t="shared" si="63"/>
        <v>89.85330073349633</v>
      </c>
      <c r="Q102" s="459">
        <f>L102-I102</f>
        <v>20.100000000000023</v>
      </c>
      <c r="R102" s="459">
        <f>L102-K102</f>
        <v>-41.5</v>
      </c>
      <c r="S102" s="469"/>
      <c r="T102" s="470"/>
      <c r="U102" s="470"/>
      <c r="V102" s="470"/>
      <c r="W102" s="471"/>
      <c r="X102" s="470"/>
    </row>
    <row r="103" spans="1:24" s="463" customFormat="1" ht="63">
      <c r="A103" s="464" t="s">
        <v>8</v>
      </c>
      <c r="B103" s="458"/>
      <c r="C103" s="456"/>
      <c r="D103" s="456"/>
      <c r="E103" s="459"/>
      <c r="F103" s="465"/>
      <c r="G103" s="456">
        <v>510.1</v>
      </c>
      <c r="H103" s="456">
        <f t="shared" si="47"/>
        <v>467.6</v>
      </c>
      <c r="I103" s="522">
        <f t="shared" si="65"/>
        <v>467.6</v>
      </c>
      <c r="J103" s="456">
        <v>510.1</v>
      </c>
      <c r="K103" s="522">
        <v>510.1</v>
      </c>
      <c r="L103" s="456">
        <v>336.6</v>
      </c>
      <c r="M103" s="456" t="e">
        <f>L103-#REF!</f>
        <v>#REF!</v>
      </c>
      <c r="N103" s="456"/>
      <c r="O103" s="459"/>
      <c r="P103" s="456"/>
      <c r="Q103" s="459"/>
      <c r="R103" s="459"/>
      <c r="S103" s="469"/>
      <c r="T103" s="470"/>
      <c r="U103" s="470"/>
      <c r="V103" s="470"/>
      <c r="W103" s="471"/>
      <c r="X103" s="470"/>
    </row>
    <row r="104" spans="1:24" s="463" customFormat="1" ht="78.75">
      <c r="A104" s="464" t="s">
        <v>9</v>
      </c>
      <c r="B104" s="458"/>
      <c r="C104" s="456"/>
      <c r="D104" s="456"/>
      <c r="E104" s="459"/>
      <c r="F104" s="465"/>
      <c r="G104" s="456">
        <v>651.3</v>
      </c>
      <c r="H104" s="456">
        <f t="shared" si="47"/>
        <v>597</v>
      </c>
      <c r="I104" s="522">
        <f t="shared" si="65"/>
        <v>597</v>
      </c>
      <c r="J104" s="456">
        <v>651.3</v>
      </c>
      <c r="K104" s="522">
        <v>651.3</v>
      </c>
      <c r="L104" s="456">
        <v>651.3</v>
      </c>
      <c r="M104" s="456" t="e">
        <f>L104-#REF!</f>
        <v>#REF!</v>
      </c>
      <c r="N104" s="456"/>
      <c r="O104" s="459"/>
      <c r="P104" s="456"/>
      <c r="Q104" s="459"/>
      <c r="R104" s="459"/>
      <c r="S104" s="469"/>
      <c r="T104" s="470"/>
      <c r="U104" s="470"/>
      <c r="V104" s="470"/>
      <c r="W104" s="471"/>
      <c r="X104" s="470"/>
    </row>
    <row r="105" spans="1:24" s="463" customFormat="1" ht="78.75">
      <c r="A105" s="464" t="s">
        <v>10</v>
      </c>
      <c r="B105" s="458"/>
      <c r="C105" s="456">
        <v>1167.7</v>
      </c>
      <c r="D105" s="456">
        <v>1167.7</v>
      </c>
      <c r="E105" s="459">
        <f>L105-D105</f>
        <v>528.2</v>
      </c>
      <c r="F105" s="459">
        <f>L105/D105*100</f>
        <v>145.23422111843794</v>
      </c>
      <c r="G105" s="456">
        <f>1699.6+0.1</f>
        <v>1699.6999999999998</v>
      </c>
      <c r="H105" s="456">
        <f t="shared" si="47"/>
        <v>1558.1</v>
      </c>
      <c r="I105" s="522">
        <f t="shared" si="65"/>
        <v>1558.1</v>
      </c>
      <c r="J105" s="456">
        <v>1699.7</v>
      </c>
      <c r="K105" s="522">
        <v>1699.7</v>
      </c>
      <c r="L105" s="456">
        <v>1695.9</v>
      </c>
      <c r="M105" s="456" t="e">
        <f>L105-#REF!</f>
        <v>#REF!</v>
      </c>
      <c r="N105" s="456">
        <f>L105/G105*100</f>
        <v>99.77643113490618</v>
      </c>
      <c r="O105" s="459">
        <f>L105/I105*100</f>
        <v>108.84410499967912</v>
      </c>
      <c r="P105" s="456">
        <f>L105/K105*100</f>
        <v>99.77643113490616</v>
      </c>
      <c r="Q105" s="459">
        <f>L105-I105</f>
        <v>137.80000000000018</v>
      </c>
      <c r="R105" s="459">
        <f>L105-K105</f>
        <v>-3.7999999999999545</v>
      </c>
      <c r="S105" s="469"/>
      <c r="T105" s="470"/>
      <c r="U105" s="470"/>
      <c r="V105" s="470"/>
      <c r="W105" s="471"/>
      <c r="X105" s="470"/>
    </row>
    <row r="106" spans="1:24" s="463" customFormat="1" ht="78.75">
      <c r="A106" s="464" t="s">
        <v>350</v>
      </c>
      <c r="B106" s="458"/>
      <c r="C106" s="456">
        <v>282</v>
      </c>
      <c r="D106" s="456">
        <v>260</v>
      </c>
      <c r="E106" s="459">
        <f t="shared" si="58"/>
        <v>30.399999999999977</v>
      </c>
      <c r="F106" s="459">
        <f t="shared" si="51"/>
        <v>111.6923076923077</v>
      </c>
      <c r="G106" s="456">
        <v>331.7</v>
      </c>
      <c r="H106" s="456">
        <f t="shared" si="47"/>
        <v>304.1</v>
      </c>
      <c r="I106" s="522">
        <f t="shared" si="65"/>
        <v>304.1</v>
      </c>
      <c r="J106" s="456">
        <v>331.7</v>
      </c>
      <c r="K106" s="522">
        <v>331.7</v>
      </c>
      <c r="L106" s="456">
        <v>290.4</v>
      </c>
      <c r="M106" s="456" t="e">
        <f>L106-#REF!</f>
        <v>#REF!</v>
      </c>
      <c r="N106" s="456">
        <f aca="true" t="shared" si="66" ref="N106:N118">L106/G106*100</f>
        <v>87.54899005125112</v>
      </c>
      <c r="O106" s="459">
        <f aca="true" t="shared" si="67" ref="O106:O118">L106/I106*100</f>
        <v>95.49490299243668</v>
      </c>
      <c r="P106" s="456">
        <f aca="true" t="shared" si="68" ref="P106:P118">L106/K106*100</f>
        <v>87.54899005125112</v>
      </c>
      <c r="Q106" s="459">
        <f aca="true" t="shared" si="69" ref="Q106:Q118">L106-I106</f>
        <v>-13.700000000000045</v>
      </c>
      <c r="R106" s="459">
        <f aca="true" t="shared" si="70" ref="R106:R118">L106-K106</f>
        <v>-41.30000000000001</v>
      </c>
      <c r="S106" s="469"/>
      <c r="T106" s="470"/>
      <c r="U106" s="470"/>
      <c r="V106" s="470"/>
      <c r="W106" s="471"/>
      <c r="X106" s="470"/>
    </row>
    <row r="107" spans="1:24" s="463" customFormat="1" ht="15" customHeight="1">
      <c r="A107" s="464" t="s">
        <v>351</v>
      </c>
      <c r="B107" s="458"/>
      <c r="C107" s="456">
        <v>0.3</v>
      </c>
      <c r="D107" s="456">
        <v>0.2</v>
      </c>
      <c r="E107" s="459">
        <f t="shared" si="58"/>
        <v>-0.1</v>
      </c>
      <c r="F107" s="459">
        <f t="shared" si="51"/>
        <v>50</v>
      </c>
      <c r="G107" s="456">
        <v>0.8</v>
      </c>
      <c r="H107" s="456">
        <f t="shared" si="47"/>
        <v>0.7</v>
      </c>
      <c r="I107" s="522">
        <f t="shared" si="65"/>
        <v>0.7</v>
      </c>
      <c r="J107" s="456">
        <v>0.8</v>
      </c>
      <c r="K107" s="522">
        <v>0.8</v>
      </c>
      <c r="L107" s="456">
        <v>0.1</v>
      </c>
      <c r="M107" s="456" t="e">
        <f>L107-#REF!</f>
        <v>#REF!</v>
      </c>
      <c r="N107" s="456">
        <f t="shared" si="66"/>
        <v>12.5</v>
      </c>
      <c r="O107" s="459">
        <f t="shared" si="67"/>
        <v>14.285714285714288</v>
      </c>
      <c r="P107" s="456">
        <f t="shared" si="68"/>
        <v>12.5</v>
      </c>
      <c r="Q107" s="459">
        <f t="shared" si="69"/>
        <v>-0.6</v>
      </c>
      <c r="R107" s="459">
        <f t="shared" si="70"/>
        <v>-0.7000000000000001</v>
      </c>
      <c r="S107" s="469"/>
      <c r="T107" s="470"/>
      <c r="U107" s="470"/>
      <c r="V107" s="470"/>
      <c r="W107" s="471"/>
      <c r="X107" s="470"/>
    </row>
    <row r="108" spans="1:24" s="463" customFormat="1" ht="47.25">
      <c r="A108" s="464" t="s">
        <v>352</v>
      </c>
      <c r="B108" s="458"/>
      <c r="C108" s="456">
        <v>390</v>
      </c>
      <c r="D108" s="456">
        <v>318.2</v>
      </c>
      <c r="E108" s="459">
        <f t="shared" si="58"/>
        <v>196.09999999999997</v>
      </c>
      <c r="F108" s="459">
        <f t="shared" si="51"/>
        <v>161.62790697674419</v>
      </c>
      <c r="G108" s="456">
        <v>625.1</v>
      </c>
      <c r="H108" s="456">
        <f t="shared" si="47"/>
        <v>573</v>
      </c>
      <c r="I108" s="522">
        <f t="shared" si="65"/>
        <v>573</v>
      </c>
      <c r="J108" s="456">
        <v>625.1</v>
      </c>
      <c r="K108" s="522">
        <v>625.1</v>
      </c>
      <c r="L108" s="456">
        <v>514.3</v>
      </c>
      <c r="M108" s="456" t="e">
        <f>L108-#REF!</f>
        <v>#REF!</v>
      </c>
      <c r="N108" s="456">
        <f t="shared" si="66"/>
        <v>82.27483602623579</v>
      </c>
      <c r="O108" s="459">
        <f t="shared" si="67"/>
        <v>89.75567190226876</v>
      </c>
      <c r="P108" s="456">
        <f t="shared" si="68"/>
        <v>82.27483602623579</v>
      </c>
      <c r="Q108" s="459">
        <f t="shared" si="69"/>
        <v>-58.700000000000045</v>
      </c>
      <c r="R108" s="459">
        <f t="shared" si="70"/>
        <v>-110.80000000000007</v>
      </c>
      <c r="S108" s="469"/>
      <c r="T108" s="470"/>
      <c r="U108" s="470"/>
      <c r="V108" s="470"/>
      <c r="W108" s="471"/>
      <c r="X108" s="470"/>
    </row>
    <row r="109" spans="1:24" s="463" customFormat="1" ht="31.5">
      <c r="A109" s="464" t="s">
        <v>353</v>
      </c>
      <c r="B109" s="458"/>
      <c r="C109" s="456">
        <v>158.2</v>
      </c>
      <c r="D109" s="456">
        <f>126.7+20</f>
        <v>146.7</v>
      </c>
      <c r="E109" s="459">
        <f t="shared" si="58"/>
        <v>-39.79999999999998</v>
      </c>
      <c r="F109" s="459">
        <f t="shared" si="51"/>
        <v>72.86980231765509</v>
      </c>
      <c r="G109" s="456">
        <v>200.7</v>
      </c>
      <c r="H109" s="456">
        <f t="shared" si="47"/>
        <v>184</v>
      </c>
      <c r="I109" s="522">
        <f t="shared" si="65"/>
        <v>184</v>
      </c>
      <c r="J109" s="456">
        <v>200.7</v>
      </c>
      <c r="K109" s="522">
        <v>200.7</v>
      </c>
      <c r="L109" s="456">
        <v>106.9</v>
      </c>
      <c r="M109" s="456" t="e">
        <f>L109-#REF!</f>
        <v>#REF!</v>
      </c>
      <c r="N109" s="456">
        <f t="shared" si="66"/>
        <v>53.26357747882412</v>
      </c>
      <c r="O109" s="459">
        <f t="shared" si="67"/>
        <v>58.09782608695653</v>
      </c>
      <c r="P109" s="456">
        <f t="shared" si="68"/>
        <v>53.26357747882412</v>
      </c>
      <c r="Q109" s="459">
        <f t="shared" si="69"/>
        <v>-77.1</v>
      </c>
      <c r="R109" s="459">
        <f t="shared" si="70"/>
        <v>-93.79999999999998</v>
      </c>
      <c r="S109" s="469"/>
      <c r="T109" s="470"/>
      <c r="U109" s="470"/>
      <c r="V109" s="470"/>
      <c r="W109" s="471"/>
      <c r="X109" s="470"/>
    </row>
    <row r="110" spans="1:24" s="463" customFormat="1" ht="48.75" customHeight="1">
      <c r="A110" s="464" t="s">
        <v>354</v>
      </c>
      <c r="B110" s="458"/>
      <c r="C110" s="456">
        <v>166.9</v>
      </c>
      <c r="D110" s="456">
        <v>166.4</v>
      </c>
      <c r="E110" s="459">
        <f t="shared" si="58"/>
        <v>-14.900000000000006</v>
      </c>
      <c r="F110" s="459">
        <f t="shared" si="51"/>
        <v>91.04567307692307</v>
      </c>
      <c r="G110" s="456">
        <v>188</v>
      </c>
      <c r="H110" s="456">
        <f t="shared" si="47"/>
        <v>172.3</v>
      </c>
      <c r="I110" s="522">
        <f t="shared" si="65"/>
        <v>172.3</v>
      </c>
      <c r="J110" s="456">
        <v>188</v>
      </c>
      <c r="K110" s="522">
        <v>188</v>
      </c>
      <c r="L110" s="456">
        <v>151.5</v>
      </c>
      <c r="M110" s="456" t="e">
        <f>L110-#REF!</f>
        <v>#REF!</v>
      </c>
      <c r="N110" s="456">
        <f t="shared" si="66"/>
        <v>80.58510638297872</v>
      </c>
      <c r="O110" s="459">
        <f t="shared" si="67"/>
        <v>87.92803250145094</v>
      </c>
      <c r="P110" s="456">
        <f t="shared" si="68"/>
        <v>80.58510638297872</v>
      </c>
      <c r="Q110" s="459">
        <f t="shared" si="69"/>
        <v>-20.80000000000001</v>
      </c>
      <c r="R110" s="459">
        <f t="shared" si="70"/>
        <v>-36.5</v>
      </c>
      <c r="S110" s="469"/>
      <c r="T110" s="470"/>
      <c r="U110" s="470"/>
      <c r="V110" s="470"/>
      <c r="W110" s="471"/>
      <c r="X110" s="470"/>
    </row>
    <row r="111" spans="1:24" s="463" customFormat="1" ht="47.25">
      <c r="A111" s="464" t="s">
        <v>355</v>
      </c>
      <c r="B111" s="458"/>
      <c r="C111" s="456">
        <v>41.9</v>
      </c>
      <c r="D111" s="456">
        <v>41.9</v>
      </c>
      <c r="E111" s="459">
        <f t="shared" si="58"/>
        <v>-21.9</v>
      </c>
      <c r="F111" s="459">
        <f t="shared" si="51"/>
        <v>47.7326968973747</v>
      </c>
      <c r="G111" s="456">
        <f>55-25</f>
        <v>30</v>
      </c>
      <c r="H111" s="456">
        <f t="shared" si="47"/>
        <v>27.5</v>
      </c>
      <c r="I111" s="522">
        <f t="shared" si="65"/>
        <v>27.5</v>
      </c>
      <c r="J111" s="456">
        <v>30</v>
      </c>
      <c r="K111" s="522">
        <v>30</v>
      </c>
      <c r="L111" s="456">
        <f>15+2.5+2.5</f>
        <v>20</v>
      </c>
      <c r="M111" s="456" t="e">
        <f>L111-#REF!</f>
        <v>#REF!</v>
      </c>
      <c r="N111" s="456">
        <f t="shared" si="66"/>
        <v>66.66666666666666</v>
      </c>
      <c r="O111" s="459">
        <f t="shared" si="67"/>
        <v>72.72727272727273</v>
      </c>
      <c r="P111" s="456">
        <f t="shared" si="68"/>
        <v>66.66666666666666</v>
      </c>
      <c r="Q111" s="459">
        <f t="shared" si="69"/>
        <v>-7.5</v>
      </c>
      <c r="R111" s="459">
        <f t="shared" si="70"/>
        <v>-10</v>
      </c>
      <c r="S111" s="469"/>
      <c r="T111" s="470"/>
      <c r="U111" s="470"/>
      <c r="V111" s="470"/>
      <c r="W111" s="471"/>
      <c r="X111" s="470"/>
    </row>
    <row r="112" spans="1:24" s="463" customFormat="1" ht="63">
      <c r="A112" s="601" t="s">
        <v>324</v>
      </c>
      <c r="B112" s="458"/>
      <c r="C112" s="456">
        <v>5</v>
      </c>
      <c r="D112" s="456"/>
      <c r="E112" s="465">
        <f t="shared" si="58"/>
        <v>0</v>
      </c>
      <c r="F112" s="465" t="e">
        <f t="shared" si="51"/>
        <v>#DIV/0!</v>
      </c>
      <c r="G112" s="456"/>
      <c r="H112" s="456">
        <f t="shared" si="47"/>
        <v>0</v>
      </c>
      <c r="I112" s="522">
        <f t="shared" si="65"/>
        <v>0</v>
      </c>
      <c r="J112" s="456"/>
      <c r="K112" s="522"/>
      <c r="L112" s="456"/>
      <c r="M112" s="456" t="e">
        <f>L112-#REF!</f>
        <v>#REF!</v>
      </c>
      <c r="N112" s="532" t="e">
        <f t="shared" si="66"/>
        <v>#DIV/0!</v>
      </c>
      <c r="O112" s="465" t="e">
        <f t="shared" si="67"/>
        <v>#DIV/0!</v>
      </c>
      <c r="P112" s="532" t="e">
        <f t="shared" si="68"/>
        <v>#DIV/0!</v>
      </c>
      <c r="Q112" s="459">
        <f t="shared" si="69"/>
        <v>0</v>
      </c>
      <c r="R112" s="459">
        <f t="shared" si="70"/>
        <v>0</v>
      </c>
      <c r="S112" s="469"/>
      <c r="T112" s="470"/>
      <c r="U112" s="470"/>
      <c r="V112" s="470"/>
      <c r="W112" s="471"/>
      <c r="X112" s="470"/>
    </row>
    <row r="113" spans="1:24" s="463" customFormat="1" ht="31.5">
      <c r="A113" s="464" t="s">
        <v>23</v>
      </c>
      <c r="B113" s="458"/>
      <c r="C113" s="456">
        <v>555.5</v>
      </c>
      <c r="D113" s="456">
        <v>531.5</v>
      </c>
      <c r="E113" s="459">
        <f t="shared" si="58"/>
        <v>-157.5</v>
      </c>
      <c r="F113" s="459">
        <f t="shared" si="51"/>
        <v>70.36688617121355</v>
      </c>
      <c r="G113" s="456">
        <f>281+82+11</f>
        <v>374</v>
      </c>
      <c r="H113" s="456">
        <f t="shared" si="47"/>
        <v>342.8</v>
      </c>
      <c r="I113" s="522">
        <f t="shared" si="65"/>
        <v>342.8</v>
      </c>
      <c r="J113" s="456">
        <v>384</v>
      </c>
      <c r="K113" s="522">
        <v>384</v>
      </c>
      <c r="L113" s="456">
        <v>374</v>
      </c>
      <c r="M113" s="456" t="e">
        <f>L113-#REF!</f>
        <v>#REF!</v>
      </c>
      <c r="N113" s="456">
        <f t="shared" si="66"/>
        <v>100</v>
      </c>
      <c r="O113" s="459">
        <f t="shared" si="67"/>
        <v>109.10151691948657</v>
      </c>
      <c r="P113" s="456">
        <f t="shared" si="68"/>
        <v>97.39583333333334</v>
      </c>
      <c r="Q113" s="459">
        <f t="shared" si="69"/>
        <v>31.19999999999999</v>
      </c>
      <c r="R113" s="459">
        <f t="shared" si="70"/>
        <v>-10</v>
      </c>
      <c r="S113" s="469"/>
      <c r="T113" s="470"/>
      <c r="U113" s="470"/>
      <c r="V113" s="470"/>
      <c r="W113" s="602"/>
      <c r="X113" s="470"/>
    </row>
    <row r="114" spans="1:24" s="463" customFormat="1" ht="31.5">
      <c r="A114" s="464" t="s">
        <v>344</v>
      </c>
      <c r="B114" s="458"/>
      <c r="C114" s="456">
        <v>417.7</v>
      </c>
      <c r="D114" s="456"/>
      <c r="E114" s="459">
        <f>L114-D114</f>
        <v>0</v>
      </c>
      <c r="F114" s="548" t="e">
        <f>L114/D114*100</f>
        <v>#DIV/0!</v>
      </c>
      <c r="G114" s="456"/>
      <c r="H114" s="456">
        <f t="shared" si="47"/>
        <v>0</v>
      </c>
      <c r="I114" s="522">
        <f>ROUND((G114*$T$7+G114*$T$8),1)</f>
        <v>0</v>
      </c>
      <c r="J114" s="456"/>
      <c r="K114" s="522"/>
      <c r="L114" s="456"/>
      <c r="M114" s="456" t="e">
        <f>L114-#REF!</f>
        <v>#REF!</v>
      </c>
      <c r="N114" s="533" t="e">
        <f t="shared" si="66"/>
        <v>#DIV/0!</v>
      </c>
      <c r="O114" s="548" t="e">
        <f t="shared" si="67"/>
        <v>#DIV/0!</v>
      </c>
      <c r="P114" s="533" t="e">
        <f t="shared" si="68"/>
        <v>#DIV/0!</v>
      </c>
      <c r="Q114" s="548">
        <f t="shared" si="69"/>
        <v>0</v>
      </c>
      <c r="R114" s="459">
        <f t="shared" si="70"/>
        <v>0</v>
      </c>
      <c r="S114" s="469"/>
      <c r="T114" s="470"/>
      <c r="U114" s="470"/>
      <c r="V114" s="470"/>
      <c r="W114" s="471"/>
      <c r="X114" s="470"/>
    </row>
    <row r="115" spans="1:24" s="463" customFormat="1" ht="31.5">
      <c r="A115" s="464" t="s">
        <v>26</v>
      </c>
      <c r="B115" s="458"/>
      <c r="C115" s="456"/>
      <c r="D115" s="456"/>
      <c r="E115" s="459">
        <f>L115-D115</f>
        <v>600</v>
      </c>
      <c r="F115" s="548" t="e">
        <f>L115/D115*100</f>
        <v>#DIV/0!</v>
      </c>
      <c r="G115" s="456">
        <f>500-50+150</f>
        <v>600</v>
      </c>
      <c r="H115" s="456">
        <f t="shared" si="47"/>
        <v>550</v>
      </c>
      <c r="I115" s="522">
        <f>ROUND((G115*$T$7+G115*$T$8),1)</f>
        <v>550</v>
      </c>
      <c r="J115" s="456">
        <v>600</v>
      </c>
      <c r="K115" s="522">
        <v>600</v>
      </c>
      <c r="L115" s="456">
        <v>600</v>
      </c>
      <c r="M115" s="456" t="e">
        <f>L115-#REF!</f>
        <v>#REF!</v>
      </c>
      <c r="N115" s="456">
        <f t="shared" si="66"/>
        <v>100</v>
      </c>
      <c r="O115" s="459">
        <f t="shared" si="67"/>
        <v>109.09090909090908</v>
      </c>
      <c r="P115" s="456">
        <f t="shared" si="68"/>
        <v>100</v>
      </c>
      <c r="Q115" s="459">
        <f t="shared" si="69"/>
        <v>50</v>
      </c>
      <c r="R115" s="459">
        <f t="shared" si="70"/>
        <v>0</v>
      </c>
      <c r="S115" s="469"/>
      <c r="T115" s="470"/>
      <c r="U115" s="470"/>
      <c r="V115" s="470"/>
      <c r="W115" s="471"/>
      <c r="X115" s="470"/>
    </row>
    <row r="116" spans="1:24" s="463" customFormat="1" ht="63">
      <c r="A116" s="464" t="s">
        <v>18</v>
      </c>
      <c r="B116" s="458"/>
      <c r="C116" s="456"/>
      <c r="D116" s="456"/>
      <c r="E116" s="459">
        <f>L116-D116</f>
        <v>92.2</v>
      </c>
      <c r="F116" s="459"/>
      <c r="G116" s="456">
        <v>92.2</v>
      </c>
      <c r="H116" s="456">
        <f t="shared" si="47"/>
        <v>84.5</v>
      </c>
      <c r="I116" s="522">
        <f t="shared" si="65"/>
        <v>84.5</v>
      </c>
      <c r="J116" s="456">
        <v>92.2</v>
      </c>
      <c r="K116" s="522">
        <v>92.2</v>
      </c>
      <c r="L116" s="456">
        <v>92.2</v>
      </c>
      <c r="M116" s="456" t="e">
        <f>L116-#REF!</f>
        <v>#REF!</v>
      </c>
      <c r="N116" s="456">
        <f t="shared" si="66"/>
        <v>100</v>
      </c>
      <c r="O116" s="459">
        <f t="shared" si="67"/>
        <v>109.11242603550295</v>
      </c>
      <c r="P116" s="456">
        <f t="shared" si="68"/>
        <v>100</v>
      </c>
      <c r="Q116" s="459">
        <f t="shared" si="69"/>
        <v>7.700000000000003</v>
      </c>
      <c r="R116" s="459">
        <f t="shared" si="70"/>
        <v>0</v>
      </c>
      <c r="S116" s="469"/>
      <c r="T116" s="470"/>
      <c r="U116" s="470"/>
      <c r="V116" s="470"/>
      <c r="W116" s="602"/>
      <c r="X116" s="470"/>
    </row>
    <row r="117" spans="1:24" s="463" customFormat="1" ht="78.75">
      <c r="A117" s="464" t="s">
        <v>4</v>
      </c>
      <c r="B117" s="458">
        <v>41054100</v>
      </c>
      <c r="C117" s="456"/>
      <c r="D117" s="456"/>
      <c r="E117" s="459">
        <f>L117-D117</f>
        <v>209.7</v>
      </c>
      <c r="F117" s="465" t="e">
        <f>L117/D117*100</f>
        <v>#DIV/0!</v>
      </c>
      <c r="G117" s="456">
        <v>211.7</v>
      </c>
      <c r="H117" s="456">
        <f t="shared" si="47"/>
        <v>194.1</v>
      </c>
      <c r="I117" s="522">
        <f>ROUND((G117*$T$7+G117*$T$8),1)</f>
        <v>194.1</v>
      </c>
      <c r="J117" s="456">
        <v>211.7</v>
      </c>
      <c r="K117" s="522">
        <v>211.7</v>
      </c>
      <c r="L117" s="456">
        <v>209.7</v>
      </c>
      <c r="M117" s="456" t="e">
        <f>L117-#REF!</f>
        <v>#REF!</v>
      </c>
      <c r="N117" s="456">
        <f t="shared" si="66"/>
        <v>99.0552668871044</v>
      </c>
      <c r="O117" s="459">
        <f t="shared" si="67"/>
        <v>108.03709428129831</v>
      </c>
      <c r="P117" s="456">
        <f t="shared" si="68"/>
        <v>99.0552668871044</v>
      </c>
      <c r="Q117" s="459">
        <f t="shared" si="69"/>
        <v>15.599999999999994</v>
      </c>
      <c r="R117" s="530">
        <f t="shared" si="70"/>
        <v>-2</v>
      </c>
      <c r="S117" s="469"/>
      <c r="T117" s="470"/>
      <c r="U117" s="470"/>
      <c r="V117" s="470"/>
      <c r="W117" s="471"/>
      <c r="X117" s="470"/>
    </row>
    <row r="118" spans="1:24" s="508" customFormat="1" ht="25.5" customHeight="1">
      <c r="A118" s="510" t="s">
        <v>236</v>
      </c>
      <c r="B118" s="504"/>
      <c r="C118" s="473">
        <f>C62+C63</f>
        <v>2768350</v>
      </c>
      <c r="D118" s="473">
        <f>D62+D63</f>
        <v>2762970.4</v>
      </c>
      <c r="E118" s="511">
        <f>L118-D118</f>
        <v>433260.6999999997</v>
      </c>
      <c r="F118" s="511">
        <f>L118/D118*100</f>
        <v>115.68097508391692</v>
      </c>
      <c r="G118" s="511">
        <f aca="true" t="shared" si="71" ref="G118:M118">G62+G63</f>
        <v>3353512.8000000003</v>
      </c>
      <c r="H118" s="487">
        <f t="shared" si="71"/>
        <v>3074053.3999999994</v>
      </c>
      <c r="I118" s="473">
        <f t="shared" si="71"/>
        <v>3074053.3999999994</v>
      </c>
      <c r="J118" s="473">
        <f t="shared" si="71"/>
        <v>3269520.3</v>
      </c>
      <c r="K118" s="473">
        <f t="shared" si="71"/>
        <v>3269520.3</v>
      </c>
      <c r="L118" s="473">
        <f t="shared" si="71"/>
        <v>3196231.0999999996</v>
      </c>
      <c r="M118" s="487" t="e">
        <f t="shared" si="71"/>
        <v>#REF!</v>
      </c>
      <c r="N118" s="487">
        <f t="shared" si="66"/>
        <v>95.30994186156079</v>
      </c>
      <c r="O118" s="511">
        <f t="shared" si="67"/>
        <v>103.97448203079362</v>
      </c>
      <c r="P118" s="487">
        <f t="shared" si="68"/>
        <v>97.75841122625847</v>
      </c>
      <c r="Q118" s="511">
        <f t="shared" si="69"/>
        <v>122177.70000000019</v>
      </c>
      <c r="R118" s="487">
        <f t="shared" si="70"/>
        <v>-73289.20000000019</v>
      </c>
      <c r="S118" s="505">
        <f aca="true" t="shared" si="72" ref="S118:S143">L118-I118-Q118</f>
        <v>0</v>
      </c>
      <c r="T118" s="506">
        <f aca="true" t="shared" si="73" ref="T118:T143">L118-K118-R118</f>
        <v>0</v>
      </c>
      <c r="U118" s="506">
        <f aca="true" t="shared" si="74" ref="U118:U143">L118/G118*100-N118</f>
        <v>0</v>
      </c>
      <c r="V118" s="506">
        <f aca="true" t="shared" si="75" ref="V118:V143">L118/I118*100-O118</f>
        <v>0</v>
      </c>
      <c r="W118" s="507">
        <f aca="true" t="shared" si="76" ref="W118:W143">H118-I118</f>
        <v>0</v>
      </c>
      <c r="X118" s="506">
        <f aca="true" t="shared" si="77" ref="X118:X143">J118-K118</f>
        <v>0</v>
      </c>
    </row>
    <row r="119" spans="1:24" s="463" customFormat="1" ht="21.75" customHeight="1">
      <c r="A119" s="861" t="s">
        <v>237</v>
      </c>
      <c r="B119" s="862"/>
      <c r="C119" s="862"/>
      <c r="D119" s="862"/>
      <c r="E119" s="862"/>
      <c r="F119" s="862"/>
      <c r="G119" s="862"/>
      <c r="H119" s="862"/>
      <c r="I119" s="862"/>
      <c r="J119" s="862"/>
      <c r="K119" s="862"/>
      <c r="L119" s="862"/>
      <c r="M119" s="862"/>
      <c r="N119" s="862"/>
      <c r="O119" s="862"/>
      <c r="P119" s="862"/>
      <c r="Q119" s="862"/>
      <c r="R119" s="863"/>
      <c r="S119" s="460">
        <f t="shared" si="72"/>
        <v>0</v>
      </c>
      <c r="T119" s="461">
        <f t="shared" si="73"/>
        <v>0</v>
      </c>
      <c r="U119" s="461" t="e">
        <f t="shared" si="74"/>
        <v>#DIV/0!</v>
      </c>
      <c r="V119" s="461" t="e">
        <f t="shared" si="75"/>
        <v>#DIV/0!</v>
      </c>
      <c r="W119" s="462">
        <f t="shared" si="76"/>
        <v>0</v>
      </c>
      <c r="X119" s="461">
        <f t="shared" si="77"/>
        <v>0</v>
      </c>
    </row>
    <row r="120" spans="1:24" s="574" customFormat="1" ht="23.25" customHeight="1">
      <c r="A120" s="563" t="s">
        <v>66</v>
      </c>
      <c r="B120" s="564">
        <v>10000000</v>
      </c>
      <c r="C120" s="497">
        <f>C121+C123</f>
        <v>3549.9</v>
      </c>
      <c r="D120" s="497">
        <f>D121+D123</f>
        <v>3549.9</v>
      </c>
      <c r="E120" s="484">
        <f aca="true" t="shared" si="78" ref="E120:E163">L120-D120</f>
        <v>582.5000000000005</v>
      </c>
      <c r="F120" s="484">
        <f aca="true" t="shared" si="79" ref="F120:F163">L120/D120*100</f>
        <v>116.40891292712472</v>
      </c>
      <c r="G120" s="497">
        <f aca="true" t="shared" si="80" ref="G120:M120">G121+G123</f>
        <v>3739.9</v>
      </c>
      <c r="H120" s="497">
        <f t="shared" si="80"/>
        <v>3428.2999999999997</v>
      </c>
      <c r="I120" s="488">
        <f t="shared" si="80"/>
        <v>3428.2999999999997</v>
      </c>
      <c r="J120" s="497">
        <f t="shared" si="80"/>
        <v>3739.9</v>
      </c>
      <c r="K120" s="488">
        <f t="shared" si="80"/>
        <v>3739.9</v>
      </c>
      <c r="L120" s="497">
        <f t="shared" si="80"/>
        <v>4132.400000000001</v>
      </c>
      <c r="M120" s="497" t="e">
        <f t="shared" si="80"/>
        <v>#REF!</v>
      </c>
      <c r="N120" s="497">
        <f aca="true" t="shared" si="81" ref="N120:N163">L120/G120*100</f>
        <v>110.49493301959947</v>
      </c>
      <c r="O120" s="484">
        <f aca="true" t="shared" si="82" ref="O120:O163">L120/I120*100</f>
        <v>120.53787591517664</v>
      </c>
      <c r="P120" s="497">
        <f aca="true" t="shared" si="83" ref="P120:P163">L120/K120*100</f>
        <v>110.49493301959947</v>
      </c>
      <c r="Q120" s="484">
        <f aca="true" t="shared" si="84" ref="Q120:Q163">L120-I120</f>
        <v>704.1000000000008</v>
      </c>
      <c r="R120" s="497">
        <f aca="true" t="shared" si="85" ref="R120:R162">L120-K120</f>
        <v>392.50000000000045</v>
      </c>
      <c r="S120" s="460">
        <f t="shared" si="72"/>
        <v>0</v>
      </c>
      <c r="T120" s="461">
        <f t="shared" si="73"/>
        <v>0</v>
      </c>
      <c r="U120" s="461">
        <f t="shared" si="74"/>
        <v>0</v>
      </c>
      <c r="V120" s="461">
        <f t="shared" si="75"/>
        <v>0</v>
      </c>
      <c r="W120" s="462">
        <f t="shared" si="76"/>
        <v>0</v>
      </c>
      <c r="X120" s="461">
        <f t="shared" si="77"/>
        <v>0</v>
      </c>
    </row>
    <row r="121" spans="1:24" s="574" customFormat="1" ht="21.75" customHeight="1">
      <c r="A121" s="572" t="s">
        <v>359</v>
      </c>
      <c r="B121" s="564">
        <v>12000000</v>
      </c>
      <c r="C121" s="497">
        <f>C122</f>
        <v>3.5</v>
      </c>
      <c r="D121" s="497">
        <f>D122</f>
        <v>3.6</v>
      </c>
      <c r="E121" s="484">
        <f t="shared" si="78"/>
        <v>-6.5</v>
      </c>
      <c r="F121" s="484">
        <f t="shared" si="79"/>
        <v>-80.55555555555554</v>
      </c>
      <c r="G121" s="497">
        <f aca="true" t="shared" si="86" ref="G121:M121">G122</f>
        <v>0</v>
      </c>
      <c r="H121" s="497">
        <f t="shared" si="86"/>
        <v>0</v>
      </c>
      <c r="I121" s="488">
        <f t="shared" si="86"/>
        <v>0</v>
      </c>
      <c r="J121" s="497">
        <f t="shared" si="86"/>
        <v>0</v>
      </c>
      <c r="K121" s="488">
        <f t="shared" si="86"/>
        <v>0</v>
      </c>
      <c r="L121" s="497">
        <f t="shared" si="86"/>
        <v>-2.9</v>
      </c>
      <c r="M121" s="497" t="e">
        <f t="shared" si="86"/>
        <v>#REF!</v>
      </c>
      <c r="N121" s="534" t="e">
        <f t="shared" si="81"/>
        <v>#DIV/0!</v>
      </c>
      <c r="O121" s="603" t="e">
        <f t="shared" si="82"/>
        <v>#DIV/0!</v>
      </c>
      <c r="P121" s="534" t="e">
        <f t="shared" si="83"/>
        <v>#DIV/0!</v>
      </c>
      <c r="Q121" s="484">
        <f t="shared" si="84"/>
        <v>-2.9</v>
      </c>
      <c r="R121" s="497">
        <f t="shared" si="85"/>
        <v>-2.9</v>
      </c>
      <c r="S121" s="460">
        <f t="shared" si="72"/>
        <v>0</v>
      </c>
      <c r="T121" s="461">
        <f t="shared" si="73"/>
        <v>0</v>
      </c>
      <c r="U121" s="461" t="e">
        <f t="shared" si="74"/>
        <v>#DIV/0!</v>
      </c>
      <c r="V121" s="461" t="e">
        <f t="shared" si="75"/>
        <v>#DIV/0!</v>
      </c>
      <c r="W121" s="598">
        <f t="shared" si="76"/>
        <v>0</v>
      </c>
      <c r="X121" s="461">
        <f t="shared" si="77"/>
        <v>0</v>
      </c>
    </row>
    <row r="122" spans="1:24" s="463" customFormat="1" ht="31.5">
      <c r="A122" s="604" t="s">
        <v>238</v>
      </c>
      <c r="B122" s="458">
        <v>12020000</v>
      </c>
      <c r="C122" s="485">
        <v>3.5</v>
      </c>
      <c r="D122" s="485">
        <v>3.6</v>
      </c>
      <c r="E122" s="459">
        <f t="shared" si="78"/>
        <v>-6.5</v>
      </c>
      <c r="F122" s="459">
        <f t="shared" si="79"/>
        <v>-80.55555555555554</v>
      </c>
      <c r="G122" s="485"/>
      <c r="H122" s="485">
        <f>G122*$T$6</f>
        <v>0</v>
      </c>
      <c r="I122" s="524"/>
      <c r="J122" s="485"/>
      <c r="K122" s="524"/>
      <c r="L122" s="485">
        <v>-2.9</v>
      </c>
      <c r="M122" s="456" t="e">
        <f>L122-#REF!</f>
        <v>#REF!</v>
      </c>
      <c r="N122" s="535" t="e">
        <f t="shared" si="81"/>
        <v>#DIV/0!</v>
      </c>
      <c r="O122" s="603" t="e">
        <f t="shared" si="82"/>
        <v>#DIV/0!</v>
      </c>
      <c r="P122" s="535" t="e">
        <f t="shared" si="83"/>
        <v>#DIV/0!</v>
      </c>
      <c r="Q122" s="459">
        <f t="shared" si="84"/>
        <v>-2.9</v>
      </c>
      <c r="R122" s="485">
        <f t="shared" si="85"/>
        <v>-2.9</v>
      </c>
      <c r="S122" s="460">
        <f t="shared" si="72"/>
        <v>0</v>
      </c>
      <c r="T122" s="461">
        <f t="shared" si="73"/>
        <v>0</v>
      </c>
      <c r="U122" s="461" t="e">
        <f t="shared" si="74"/>
        <v>#DIV/0!</v>
      </c>
      <c r="V122" s="461" t="e">
        <f t="shared" si="75"/>
        <v>#DIV/0!</v>
      </c>
      <c r="W122" s="598">
        <f t="shared" si="76"/>
        <v>0</v>
      </c>
      <c r="X122" s="461">
        <f t="shared" si="77"/>
        <v>0</v>
      </c>
    </row>
    <row r="123" spans="1:24" s="571" customFormat="1" ht="20.25" customHeight="1">
      <c r="A123" s="578" t="s">
        <v>76</v>
      </c>
      <c r="B123" s="573" t="s">
        <v>246</v>
      </c>
      <c r="C123" s="497">
        <f>C124</f>
        <v>3546.4</v>
      </c>
      <c r="D123" s="497">
        <f>D124</f>
        <v>3546.3</v>
      </c>
      <c r="E123" s="484">
        <f t="shared" si="78"/>
        <v>589</v>
      </c>
      <c r="F123" s="484">
        <f t="shared" si="79"/>
        <v>116.60885993852747</v>
      </c>
      <c r="G123" s="497">
        <f aca="true" t="shared" si="87" ref="G123:M123">G124</f>
        <v>3739.9</v>
      </c>
      <c r="H123" s="497">
        <f t="shared" si="87"/>
        <v>3428.2999999999997</v>
      </c>
      <c r="I123" s="488">
        <f t="shared" si="87"/>
        <v>3428.2999999999997</v>
      </c>
      <c r="J123" s="497">
        <f t="shared" si="87"/>
        <v>3739.9</v>
      </c>
      <c r="K123" s="488">
        <f t="shared" si="87"/>
        <v>3739.9</v>
      </c>
      <c r="L123" s="497">
        <f t="shared" si="87"/>
        <v>4135.3</v>
      </c>
      <c r="M123" s="497" t="e">
        <f t="shared" si="87"/>
        <v>#REF!</v>
      </c>
      <c r="N123" s="536">
        <f t="shared" si="81"/>
        <v>110.57247519987166</v>
      </c>
      <c r="O123" s="484">
        <f t="shared" si="82"/>
        <v>120.62246594522068</v>
      </c>
      <c r="P123" s="536">
        <f t="shared" si="83"/>
        <v>110.57247519987166</v>
      </c>
      <c r="Q123" s="484">
        <f t="shared" si="84"/>
        <v>707.0000000000005</v>
      </c>
      <c r="R123" s="497">
        <f t="shared" si="85"/>
        <v>395.4000000000001</v>
      </c>
      <c r="S123" s="460">
        <f t="shared" si="72"/>
        <v>0</v>
      </c>
      <c r="T123" s="461">
        <f t="shared" si="73"/>
        <v>0</v>
      </c>
      <c r="U123" s="461">
        <f t="shared" si="74"/>
        <v>0</v>
      </c>
      <c r="V123" s="461">
        <f t="shared" si="75"/>
        <v>0</v>
      </c>
      <c r="W123" s="462">
        <f t="shared" si="76"/>
        <v>0</v>
      </c>
      <c r="X123" s="461">
        <f t="shared" si="77"/>
        <v>0</v>
      </c>
    </row>
    <row r="124" spans="1:24" s="571" customFormat="1" ht="26.25" customHeight="1">
      <c r="A124" s="464" t="s">
        <v>247</v>
      </c>
      <c r="B124" s="458" t="s">
        <v>248</v>
      </c>
      <c r="C124" s="456">
        <v>3546.4</v>
      </c>
      <c r="D124" s="485">
        <v>3546.3</v>
      </c>
      <c r="E124" s="459">
        <f t="shared" si="78"/>
        <v>589</v>
      </c>
      <c r="F124" s="459">
        <f t="shared" si="79"/>
        <v>116.60885993852747</v>
      </c>
      <c r="G124" s="485">
        <f>3500+200+39.9</f>
        <v>3739.9</v>
      </c>
      <c r="H124" s="485">
        <f>ROUND(G124*$T$6,1)+0.1</f>
        <v>3428.2999999999997</v>
      </c>
      <c r="I124" s="524">
        <f>ROUND((G124*$T$7+G124*$T$8),1)+0.1</f>
        <v>3428.2999999999997</v>
      </c>
      <c r="J124" s="485">
        <v>3739.9</v>
      </c>
      <c r="K124" s="524">
        <v>3739.9</v>
      </c>
      <c r="L124" s="485">
        <v>4135.3</v>
      </c>
      <c r="M124" s="456" t="e">
        <f>L124-#REF!</f>
        <v>#REF!</v>
      </c>
      <c r="N124" s="537">
        <f t="shared" si="81"/>
        <v>110.57247519987166</v>
      </c>
      <c r="O124" s="459">
        <f t="shared" si="82"/>
        <v>120.62246594522068</v>
      </c>
      <c r="P124" s="537">
        <f t="shared" si="83"/>
        <v>110.57247519987166</v>
      </c>
      <c r="Q124" s="459">
        <f t="shared" si="84"/>
        <v>707.0000000000005</v>
      </c>
      <c r="R124" s="485">
        <f t="shared" si="85"/>
        <v>395.4000000000001</v>
      </c>
      <c r="S124" s="460">
        <f t="shared" si="72"/>
        <v>0</v>
      </c>
      <c r="T124" s="461">
        <f t="shared" si="73"/>
        <v>0</v>
      </c>
      <c r="U124" s="461">
        <f t="shared" si="74"/>
        <v>0</v>
      </c>
      <c r="V124" s="461">
        <f t="shared" si="75"/>
        <v>0</v>
      </c>
      <c r="W124" s="462">
        <f t="shared" si="76"/>
        <v>0</v>
      </c>
      <c r="X124" s="461">
        <f t="shared" si="77"/>
        <v>0</v>
      </c>
    </row>
    <row r="125" spans="1:24" s="574" customFormat="1" ht="27" customHeight="1">
      <c r="A125" s="578" t="s">
        <v>77</v>
      </c>
      <c r="B125" s="573">
        <v>20000000</v>
      </c>
      <c r="C125" s="497">
        <f>C126+C134</f>
        <v>73829.9</v>
      </c>
      <c r="D125" s="497">
        <f>D126+D134</f>
        <v>73829.9</v>
      </c>
      <c r="E125" s="484">
        <f t="shared" si="78"/>
        <v>17864.79999999999</v>
      </c>
      <c r="F125" s="605">
        <f t="shared" si="79"/>
        <v>124.1972425805805</v>
      </c>
      <c r="G125" s="497">
        <f aca="true" t="shared" si="88" ref="G125:M125">G126+G134</f>
        <v>73409.3</v>
      </c>
      <c r="H125" s="497">
        <f t="shared" si="88"/>
        <v>67291.8</v>
      </c>
      <c r="I125" s="488">
        <f t="shared" si="88"/>
        <v>67291.8</v>
      </c>
      <c r="J125" s="497">
        <f t="shared" si="88"/>
        <v>67562.1</v>
      </c>
      <c r="K125" s="488">
        <f t="shared" si="88"/>
        <v>67562.1</v>
      </c>
      <c r="L125" s="497">
        <f t="shared" si="88"/>
        <v>91694.69999999998</v>
      </c>
      <c r="M125" s="497" t="e">
        <f t="shared" si="88"/>
        <v>#REF!</v>
      </c>
      <c r="N125" s="497">
        <f t="shared" si="81"/>
        <v>124.90883307700793</v>
      </c>
      <c r="O125" s="484">
        <f t="shared" si="82"/>
        <v>136.26429966206874</v>
      </c>
      <c r="P125" s="497">
        <f t="shared" si="83"/>
        <v>135.7191383926787</v>
      </c>
      <c r="Q125" s="484">
        <f t="shared" si="84"/>
        <v>24402.89999999998</v>
      </c>
      <c r="R125" s="497">
        <f t="shared" si="85"/>
        <v>24132.599999999977</v>
      </c>
      <c r="S125" s="460">
        <f t="shared" si="72"/>
        <v>0</v>
      </c>
      <c r="T125" s="461">
        <f t="shared" si="73"/>
        <v>0</v>
      </c>
      <c r="U125" s="461">
        <f t="shared" si="74"/>
        <v>0</v>
      </c>
      <c r="V125" s="461">
        <f t="shared" si="75"/>
        <v>0</v>
      </c>
      <c r="W125" s="462">
        <f t="shared" si="76"/>
        <v>0</v>
      </c>
      <c r="X125" s="461">
        <f t="shared" si="77"/>
        <v>0</v>
      </c>
    </row>
    <row r="126" spans="1:24" s="574" customFormat="1" ht="21.75" customHeight="1">
      <c r="A126" s="578" t="s">
        <v>89</v>
      </c>
      <c r="B126" s="573">
        <v>24000000</v>
      </c>
      <c r="C126" s="497">
        <f>C127+C130+C133</f>
        <v>7112.2</v>
      </c>
      <c r="D126" s="497">
        <f>D127+D130+D133</f>
        <v>7112.2</v>
      </c>
      <c r="E126" s="484">
        <f t="shared" si="78"/>
        <v>-2711.8</v>
      </c>
      <c r="F126" s="484">
        <f t="shared" si="79"/>
        <v>61.871150980006185</v>
      </c>
      <c r="G126" s="497">
        <f aca="true" t="shared" si="89" ref="G126:M126">G127+G130+G133</f>
        <v>3243.1</v>
      </c>
      <c r="H126" s="497">
        <f t="shared" si="89"/>
        <v>2972.7999999999997</v>
      </c>
      <c r="I126" s="488">
        <f t="shared" si="89"/>
        <v>2972.7999999999997</v>
      </c>
      <c r="J126" s="497">
        <f t="shared" si="89"/>
        <v>3243.1</v>
      </c>
      <c r="K126" s="488">
        <f>K127+K130+K133</f>
        <v>3243.1</v>
      </c>
      <c r="L126" s="497">
        <f t="shared" si="89"/>
        <v>4400.4</v>
      </c>
      <c r="M126" s="497" t="e">
        <f t="shared" si="89"/>
        <v>#REF!</v>
      </c>
      <c r="N126" s="536">
        <f t="shared" si="81"/>
        <v>135.68499275384661</v>
      </c>
      <c r="O126" s="484">
        <f t="shared" si="82"/>
        <v>148.0220667384284</v>
      </c>
      <c r="P126" s="536">
        <f t="shared" si="83"/>
        <v>135.68499275384661</v>
      </c>
      <c r="Q126" s="484">
        <f t="shared" si="84"/>
        <v>1427.6</v>
      </c>
      <c r="R126" s="497">
        <f t="shared" si="85"/>
        <v>1157.2999999999997</v>
      </c>
      <c r="S126" s="460">
        <f t="shared" si="72"/>
        <v>0</v>
      </c>
      <c r="T126" s="461">
        <f t="shared" si="73"/>
        <v>0</v>
      </c>
      <c r="U126" s="461">
        <f t="shared" si="74"/>
        <v>0</v>
      </c>
      <c r="V126" s="461">
        <f t="shared" si="75"/>
        <v>0</v>
      </c>
      <c r="W126" s="462">
        <f t="shared" si="76"/>
        <v>0</v>
      </c>
      <c r="X126" s="461">
        <f t="shared" si="77"/>
        <v>0</v>
      </c>
    </row>
    <row r="127" spans="1:24" s="568" customFormat="1" ht="18" customHeight="1">
      <c r="A127" s="577" t="s">
        <v>358</v>
      </c>
      <c r="B127" s="458">
        <v>24060000</v>
      </c>
      <c r="C127" s="485">
        <f>C129+C128</f>
        <v>376.9</v>
      </c>
      <c r="D127" s="485">
        <f>D128+D129</f>
        <v>376.9</v>
      </c>
      <c r="E127" s="459">
        <f t="shared" si="78"/>
        <v>482.9</v>
      </c>
      <c r="F127" s="459">
        <f t="shared" si="79"/>
        <v>228.12417086760414</v>
      </c>
      <c r="G127" s="485">
        <f aca="true" t="shared" si="90" ref="G127:M127">G129+G128</f>
        <v>840.1</v>
      </c>
      <c r="H127" s="485">
        <f t="shared" si="90"/>
        <v>770.0999999999999</v>
      </c>
      <c r="I127" s="524">
        <f t="shared" si="90"/>
        <v>770.0999999999999</v>
      </c>
      <c r="J127" s="485">
        <f t="shared" si="90"/>
        <v>840.1</v>
      </c>
      <c r="K127" s="524">
        <f t="shared" si="90"/>
        <v>840.1</v>
      </c>
      <c r="L127" s="485">
        <f t="shared" si="90"/>
        <v>859.8</v>
      </c>
      <c r="M127" s="485" t="e">
        <f t="shared" si="90"/>
        <v>#REF!</v>
      </c>
      <c r="N127" s="537">
        <f t="shared" si="81"/>
        <v>102.34495893346029</v>
      </c>
      <c r="O127" s="459">
        <f t="shared" si="82"/>
        <v>111.64783794312427</v>
      </c>
      <c r="P127" s="537">
        <f t="shared" si="83"/>
        <v>102.34495893346029</v>
      </c>
      <c r="Q127" s="459">
        <f t="shared" si="84"/>
        <v>89.70000000000005</v>
      </c>
      <c r="R127" s="485">
        <f t="shared" si="85"/>
        <v>19.699999999999932</v>
      </c>
      <c r="S127" s="460">
        <f t="shared" si="72"/>
        <v>0</v>
      </c>
      <c r="T127" s="461">
        <f t="shared" si="73"/>
        <v>0</v>
      </c>
      <c r="U127" s="461">
        <f t="shared" si="74"/>
        <v>0</v>
      </c>
      <c r="V127" s="461">
        <f t="shared" si="75"/>
        <v>0</v>
      </c>
      <c r="W127" s="462">
        <f t="shared" si="76"/>
        <v>0</v>
      </c>
      <c r="X127" s="461">
        <f t="shared" si="77"/>
        <v>0</v>
      </c>
    </row>
    <row r="128" spans="1:24" s="571" customFormat="1" ht="31.5">
      <c r="A128" s="606" t="s">
        <v>249</v>
      </c>
      <c r="B128" s="570">
        <v>24061600</v>
      </c>
      <c r="C128" s="498">
        <v>250</v>
      </c>
      <c r="D128" s="498">
        <v>250</v>
      </c>
      <c r="E128" s="529">
        <f t="shared" si="78"/>
        <v>15</v>
      </c>
      <c r="F128" s="459">
        <f t="shared" si="79"/>
        <v>106</v>
      </c>
      <c r="G128" s="498">
        <v>250</v>
      </c>
      <c r="H128" s="498">
        <f>ROUND(G128*$T$6,1)</f>
        <v>229.2</v>
      </c>
      <c r="I128" s="524">
        <f>ROUND((G128*$T$7+G128*$T$8),1)</f>
        <v>229.2</v>
      </c>
      <c r="J128" s="498">
        <v>250</v>
      </c>
      <c r="K128" s="525">
        <v>250</v>
      </c>
      <c r="L128" s="498">
        <v>265</v>
      </c>
      <c r="M128" s="456" t="e">
        <f>L128-#REF!</f>
        <v>#REF!</v>
      </c>
      <c r="N128" s="538">
        <f t="shared" si="81"/>
        <v>106</v>
      </c>
      <c r="O128" s="529">
        <f t="shared" si="82"/>
        <v>115.61954624781849</v>
      </c>
      <c r="P128" s="538">
        <f t="shared" si="83"/>
        <v>106</v>
      </c>
      <c r="Q128" s="529">
        <f t="shared" si="84"/>
        <v>35.80000000000001</v>
      </c>
      <c r="R128" s="498">
        <f t="shared" si="85"/>
        <v>15</v>
      </c>
      <c r="S128" s="460">
        <f t="shared" si="72"/>
        <v>0</v>
      </c>
      <c r="T128" s="461">
        <f t="shared" si="73"/>
        <v>0</v>
      </c>
      <c r="U128" s="461">
        <f t="shared" si="74"/>
        <v>0</v>
      </c>
      <c r="V128" s="461">
        <f t="shared" si="75"/>
        <v>0</v>
      </c>
      <c r="W128" s="598">
        <f t="shared" si="76"/>
        <v>0</v>
      </c>
      <c r="X128" s="461">
        <f t="shared" si="77"/>
        <v>0</v>
      </c>
    </row>
    <row r="129" spans="1:24" s="571" customFormat="1" ht="63">
      <c r="A129" s="569" t="s">
        <v>250</v>
      </c>
      <c r="B129" s="570">
        <v>24062100</v>
      </c>
      <c r="C129" s="498">
        <v>126.9</v>
      </c>
      <c r="D129" s="498">
        <v>126.9</v>
      </c>
      <c r="E129" s="459">
        <f t="shared" si="78"/>
        <v>467.9</v>
      </c>
      <c r="F129" s="459">
        <f t="shared" si="79"/>
        <v>468.7155240346729</v>
      </c>
      <c r="G129" s="498">
        <f>30+560.1</f>
        <v>590.1</v>
      </c>
      <c r="H129" s="498">
        <f>ROUND(G129*$T$6,1)</f>
        <v>540.9</v>
      </c>
      <c r="I129" s="524">
        <f>ROUND((G129*$T$7+G129*$T$8),1)</f>
        <v>540.9</v>
      </c>
      <c r="J129" s="498">
        <v>590.1</v>
      </c>
      <c r="K129" s="525">
        <v>590.1</v>
      </c>
      <c r="L129" s="498">
        <v>594.8</v>
      </c>
      <c r="M129" s="456" t="e">
        <f>L129-#REF!</f>
        <v>#REF!</v>
      </c>
      <c r="N129" s="498">
        <f t="shared" si="81"/>
        <v>100.79647517369936</v>
      </c>
      <c r="O129" s="498">
        <f t="shared" si="82"/>
        <v>109.96487335921611</v>
      </c>
      <c r="P129" s="498">
        <f t="shared" si="83"/>
        <v>100.79647517369936</v>
      </c>
      <c r="Q129" s="498">
        <f t="shared" si="84"/>
        <v>53.89999999999998</v>
      </c>
      <c r="R129" s="485">
        <f t="shared" si="85"/>
        <v>4.699999999999932</v>
      </c>
      <c r="S129" s="460">
        <f t="shared" si="72"/>
        <v>0</v>
      </c>
      <c r="T129" s="461">
        <f t="shared" si="73"/>
        <v>0</v>
      </c>
      <c r="U129" s="461">
        <f t="shared" si="74"/>
        <v>0</v>
      </c>
      <c r="V129" s="461">
        <f t="shared" si="75"/>
        <v>0</v>
      </c>
      <c r="W129" s="462">
        <f t="shared" si="76"/>
        <v>0</v>
      </c>
      <c r="X129" s="461">
        <f t="shared" si="77"/>
        <v>0</v>
      </c>
    </row>
    <row r="130" spans="1:24" s="574" customFormat="1" ht="31.5">
      <c r="A130" s="586" t="s">
        <v>251</v>
      </c>
      <c r="B130" s="587">
        <v>24110000</v>
      </c>
      <c r="C130" s="497">
        <f>C132+C131</f>
        <v>179.9</v>
      </c>
      <c r="D130" s="497">
        <f>D131+D132</f>
        <v>179.9</v>
      </c>
      <c r="E130" s="484">
        <f t="shared" si="78"/>
        <v>-94.2</v>
      </c>
      <c r="F130" s="484">
        <f t="shared" si="79"/>
        <v>47.63757643135075</v>
      </c>
      <c r="G130" s="497">
        <f aca="true" t="shared" si="91" ref="G130:M130">G132+G131</f>
        <v>86.80000000000001</v>
      </c>
      <c r="H130" s="497">
        <f t="shared" si="91"/>
        <v>79.5</v>
      </c>
      <c r="I130" s="488">
        <f t="shared" si="91"/>
        <v>79.5</v>
      </c>
      <c r="J130" s="497">
        <f t="shared" si="91"/>
        <v>86.80000000000001</v>
      </c>
      <c r="K130" s="488">
        <f t="shared" si="91"/>
        <v>86.80000000000001</v>
      </c>
      <c r="L130" s="497">
        <f t="shared" si="91"/>
        <v>85.7</v>
      </c>
      <c r="M130" s="497" t="e">
        <f t="shared" si="91"/>
        <v>#REF!</v>
      </c>
      <c r="N130" s="536">
        <f t="shared" si="81"/>
        <v>98.73271889400921</v>
      </c>
      <c r="O130" s="484">
        <f t="shared" si="82"/>
        <v>107.79874213836477</v>
      </c>
      <c r="P130" s="536">
        <f t="shared" si="83"/>
        <v>98.73271889400921</v>
      </c>
      <c r="Q130" s="484">
        <f t="shared" si="84"/>
        <v>6.200000000000003</v>
      </c>
      <c r="R130" s="497">
        <f t="shared" si="85"/>
        <v>-1.1000000000000085</v>
      </c>
      <c r="S130" s="460">
        <f t="shared" si="72"/>
        <v>0</v>
      </c>
      <c r="T130" s="461">
        <f t="shared" si="73"/>
        <v>0</v>
      </c>
      <c r="U130" s="461">
        <f t="shared" si="74"/>
        <v>0</v>
      </c>
      <c r="V130" s="461">
        <f t="shared" si="75"/>
        <v>0</v>
      </c>
      <c r="W130" s="462">
        <f t="shared" si="76"/>
        <v>0</v>
      </c>
      <c r="X130" s="461">
        <f t="shared" si="77"/>
        <v>0</v>
      </c>
    </row>
    <row r="131" spans="1:24" s="463" customFormat="1" ht="31.5">
      <c r="A131" s="607" t="s">
        <v>252</v>
      </c>
      <c r="B131" s="493">
        <v>24110600</v>
      </c>
      <c r="C131" s="485">
        <v>166.9</v>
      </c>
      <c r="D131" s="485">
        <v>166.9</v>
      </c>
      <c r="E131" s="459">
        <f t="shared" si="78"/>
        <v>-100</v>
      </c>
      <c r="F131" s="459">
        <f t="shared" si="79"/>
        <v>40.083882564409826</v>
      </c>
      <c r="G131" s="485">
        <f>44.7+22.2</f>
        <v>66.9</v>
      </c>
      <c r="H131" s="485">
        <f>ROUND(G131*$T$6,1)</f>
        <v>61.3</v>
      </c>
      <c r="I131" s="524">
        <f>ROUND(G131*$T$7+G131*$T$8,1)</f>
        <v>61.3</v>
      </c>
      <c r="J131" s="485">
        <v>66.9</v>
      </c>
      <c r="K131" s="524">
        <v>66.9</v>
      </c>
      <c r="L131" s="485">
        <v>66.9</v>
      </c>
      <c r="M131" s="456" t="e">
        <f>L131-#REF!</f>
        <v>#REF!</v>
      </c>
      <c r="N131" s="485">
        <f t="shared" si="81"/>
        <v>100</v>
      </c>
      <c r="O131" s="485">
        <f t="shared" si="82"/>
        <v>109.13539967373573</v>
      </c>
      <c r="P131" s="537">
        <f t="shared" si="83"/>
        <v>100</v>
      </c>
      <c r="Q131" s="459">
        <f t="shared" si="84"/>
        <v>5.6000000000000085</v>
      </c>
      <c r="R131" s="485">
        <f t="shared" si="85"/>
        <v>0</v>
      </c>
      <c r="S131" s="460">
        <f t="shared" si="72"/>
        <v>0</v>
      </c>
      <c r="T131" s="461">
        <f t="shared" si="73"/>
        <v>0</v>
      </c>
      <c r="U131" s="461">
        <f t="shared" si="74"/>
        <v>0</v>
      </c>
      <c r="V131" s="461">
        <f t="shared" si="75"/>
        <v>0</v>
      </c>
      <c r="W131" s="598">
        <f t="shared" si="76"/>
        <v>0</v>
      </c>
      <c r="X131" s="461">
        <f t="shared" si="77"/>
        <v>0</v>
      </c>
    </row>
    <row r="132" spans="1:24" s="571" customFormat="1" ht="81.75" customHeight="1">
      <c r="A132" s="608" t="s">
        <v>253</v>
      </c>
      <c r="B132" s="609">
        <v>24110900</v>
      </c>
      <c r="C132" s="498">
        <v>13</v>
      </c>
      <c r="D132" s="498">
        <v>13</v>
      </c>
      <c r="E132" s="459">
        <f t="shared" si="78"/>
        <v>5.800000000000001</v>
      </c>
      <c r="F132" s="459">
        <f t="shared" si="79"/>
        <v>144.6153846153846</v>
      </c>
      <c r="G132" s="498">
        <v>19.9</v>
      </c>
      <c r="H132" s="498">
        <f>ROUND(G132*$T$6,1)</f>
        <v>18.2</v>
      </c>
      <c r="I132" s="524">
        <f>ROUND((G132*$T$7+G132*$T$8),1)</f>
        <v>18.2</v>
      </c>
      <c r="J132" s="498">
        <v>19.9</v>
      </c>
      <c r="K132" s="525">
        <v>19.9</v>
      </c>
      <c r="L132" s="498">
        <v>18.8</v>
      </c>
      <c r="M132" s="456" t="e">
        <f>L132-#REF!</f>
        <v>#REF!</v>
      </c>
      <c r="N132" s="538">
        <f t="shared" si="81"/>
        <v>94.47236180904524</v>
      </c>
      <c r="O132" s="459">
        <f t="shared" si="82"/>
        <v>103.29670329670331</v>
      </c>
      <c r="P132" s="538">
        <f t="shared" si="83"/>
        <v>94.47236180904524</v>
      </c>
      <c r="Q132" s="459">
        <f t="shared" si="84"/>
        <v>0.6000000000000014</v>
      </c>
      <c r="R132" s="485">
        <f t="shared" si="85"/>
        <v>-1.0999999999999979</v>
      </c>
      <c r="S132" s="460">
        <f t="shared" si="72"/>
        <v>0</v>
      </c>
      <c r="T132" s="461">
        <f t="shared" si="73"/>
        <v>0</v>
      </c>
      <c r="U132" s="461">
        <f t="shared" si="74"/>
        <v>0</v>
      </c>
      <c r="V132" s="461">
        <f t="shared" si="75"/>
        <v>0</v>
      </c>
      <c r="W132" s="462">
        <f t="shared" si="76"/>
        <v>0</v>
      </c>
      <c r="X132" s="461">
        <f t="shared" si="77"/>
        <v>0</v>
      </c>
    </row>
    <row r="133" spans="1:24" s="574" customFormat="1" ht="31.5">
      <c r="A133" s="586" t="s">
        <v>254</v>
      </c>
      <c r="B133" s="587">
        <v>24170000</v>
      </c>
      <c r="C133" s="497">
        <v>6555.4</v>
      </c>
      <c r="D133" s="497">
        <v>6555.4</v>
      </c>
      <c r="E133" s="484">
        <f t="shared" si="78"/>
        <v>-3100.4999999999995</v>
      </c>
      <c r="F133" s="484">
        <f t="shared" si="79"/>
        <v>52.703114989169244</v>
      </c>
      <c r="G133" s="497">
        <v>2316.2</v>
      </c>
      <c r="H133" s="497">
        <f>ROUND(G133*$T$6,1)</f>
        <v>2123.2</v>
      </c>
      <c r="I133" s="488">
        <f>ROUND((G133*$T$7+G133*$T$8),1)</f>
        <v>2123.2</v>
      </c>
      <c r="J133" s="497">
        <v>2316.2</v>
      </c>
      <c r="K133" s="488">
        <v>2316.2</v>
      </c>
      <c r="L133" s="497">
        <v>3454.9</v>
      </c>
      <c r="M133" s="483" t="e">
        <f>L133-#REF!</f>
        <v>#REF!</v>
      </c>
      <c r="N133" s="536">
        <f t="shared" si="81"/>
        <v>149.16242120714966</v>
      </c>
      <c r="O133" s="484">
        <f t="shared" si="82"/>
        <v>162.7213639788998</v>
      </c>
      <c r="P133" s="536">
        <f t="shared" si="83"/>
        <v>149.16242120714966</v>
      </c>
      <c r="Q133" s="484">
        <f t="shared" si="84"/>
        <v>1331.7000000000003</v>
      </c>
      <c r="R133" s="497">
        <f t="shared" si="85"/>
        <v>1138.7000000000003</v>
      </c>
      <c r="S133" s="460">
        <f t="shared" si="72"/>
        <v>0</v>
      </c>
      <c r="T133" s="461">
        <f t="shared" si="73"/>
        <v>0</v>
      </c>
      <c r="U133" s="461">
        <f t="shared" si="74"/>
        <v>0</v>
      </c>
      <c r="V133" s="461">
        <f t="shared" si="75"/>
        <v>0</v>
      </c>
      <c r="W133" s="462">
        <f t="shared" si="76"/>
        <v>0</v>
      </c>
      <c r="X133" s="461">
        <f t="shared" si="77"/>
        <v>0</v>
      </c>
    </row>
    <row r="134" spans="1:24" s="574" customFormat="1" ht="20.25">
      <c r="A134" s="610" t="s">
        <v>255</v>
      </c>
      <c r="B134" s="573">
        <v>25000000</v>
      </c>
      <c r="C134" s="497">
        <v>66717.7</v>
      </c>
      <c r="D134" s="497">
        <v>66717.7</v>
      </c>
      <c r="E134" s="484">
        <f t="shared" si="78"/>
        <v>20576.59999999999</v>
      </c>
      <c r="F134" s="484">
        <f t="shared" si="79"/>
        <v>130.8412909917458</v>
      </c>
      <c r="G134" s="497">
        <v>70166.2</v>
      </c>
      <c r="H134" s="497">
        <f>ROUND(G134*$T$6,1)</f>
        <v>64319</v>
      </c>
      <c r="I134" s="488">
        <f>ROUND((G134*$T$7+G134*$T$8),1)</f>
        <v>64319</v>
      </c>
      <c r="J134" s="497">
        <f>H134</f>
        <v>64319</v>
      </c>
      <c r="K134" s="488">
        <f>I134</f>
        <v>64319</v>
      </c>
      <c r="L134" s="497">
        <v>87294.29999999999</v>
      </c>
      <c r="M134" s="483" t="e">
        <f>L134-#REF!</f>
        <v>#REF!</v>
      </c>
      <c r="N134" s="536">
        <f t="shared" si="81"/>
        <v>124.41075617605057</v>
      </c>
      <c r="O134" s="484">
        <f t="shared" si="82"/>
        <v>135.72086008799886</v>
      </c>
      <c r="P134" s="536">
        <f t="shared" si="83"/>
        <v>135.72086008799886</v>
      </c>
      <c r="Q134" s="484">
        <f t="shared" si="84"/>
        <v>22975.29999999999</v>
      </c>
      <c r="R134" s="497">
        <f t="shared" si="85"/>
        <v>22975.29999999999</v>
      </c>
      <c r="S134" s="460">
        <f t="shared" si="72"/>
        <v>0</v>
      </c>
      <c r="T134" s="461">
        <f t="shared" si="73"/>
        <v>0</v>
      </c>
      <c r="U134" s="461">
        <f t="shared" si="74"/>
        <v>0</v>
      </c>
      <c r="V134" s="461">
        <f t="shared" si="75"/>
        <v>0</v>
      </c>
      <c r="W134" s="462">
        <f t="shared" si="76"/>
        <v>0</v>
      </c>
      <c r="X134" s="461">
        <f t="shared" si="77"/>
        <v>0</v>
      </c>
    </row>
    <row r="135" spans="1:24" s="574" customFormat="1" ht="20.25">
      <c r="A135" s="610" t="s">
        <v>256</v>
      </c>
      <c r="B135" s="573">
        <v>30000000</v>
      </c>
      <c r="C135" s="497">
        <f>C136+C138</f>
        <v>5989.4</v>
      </c>
      <c r="D135" s="497">
        <f>D136+D138</f>
        <v>5989.4</v>
      </c>
      <c r="E135" s="484">
        <f t="shared" si="78"/>
        <v>-660.5999999999995</v>
      </c>
      <c r="F135" s="484">
        <f t="shared" si="79"/>
        <v>88.9705145757505</v>
      </c>
      <c r="G135" s="497">
        <f aca="true" t="shared" si="92" ref="G135:M135">G136+G138</f>
        <v>5990.1</v>
      </c>
      <c r="H135" s="497">
        <f t="shared" si="92"/>
        <v>5490.900000000001</v>
      </c>
      <c r="I135" s="488">
        <f t="shared" si="92"/>
        <v>5490.900000000001</v>
      </c>
      <c r="J135" s="497">
        <f t="shared" si="92"/>
        <v>5990.1</v>
      </c>
      <c r="K135" s="488">
        <f>K136+K138</f>
        <v>5990.1</v>
      </c>
      <c r="L135" s="497">
        <f t="shared" si="92"/>
        <v>5328.8</v>
      </c>
      <c r="M135" s="497" t="e">
        <f t="shared" si="92"/>
        <v>#REF!</v>
      </c>
      <c r="N135" s="497">
        <f t="shared" si="81"/>
        <v>88.9601175272533</v>
      </c>
      <c r="O135" s="484">
        <f t="shared" si="82"/>
        <v>97.0478427944417</v>
      </c>
      <c r="P135" s="497">
        <f t="shared" si="83"/>
        <v>88.9601175272533</v>
      </c>
      <c r="Q135" s="484">
        <f t="shared" si="84"/>
        <v>-162.10000000000036</v>
      </c>
      <c r="R135" s="497">
        <f t="shared" si="85"/>
        <v>-661.3000000000002</v>
      </c>
      <c r="S135" s="460">
        <f t="shared" si="72"/>
        <v>0</v>
      </c>
      <c r="T135" s="461">
        <f t="shared" si="73"/>
        <v>0</v>
      </c>
      <c r="U135" s="461">
        <f t="shared" si="74"/>
        <v>0</v>
      </c>
      <c r="V135" s="461">
        <f t="shared" si="75"/>
        <v>0</v>
      </c>
      <c r="W135" s="462">
        <f t="shared" si="76"/>
        <v>0</v>
      </c>
      <c r="X135" s="461">
        <f t="shared" si="77"/>
        <v>0</v>
      </c>
    </row>
    <row r="136" spans="1:24" s="574" customFormat="1" ht="31.5">
      <c r="A136" s="572" t="s">
        <v>360</v>
      </c>
      <c r="B136" s="573">
        <v>31000000</v>
      </c>
      <c r="C136" s="497">
        <f>C137</f>
        <v>4888.3</v>
      </c>
      <c r="D136" s="497">
        <f>D137</f>
        <v>4888.3</v>
      </c>
      <c r="E136" s="484">
        <f t="shared" si="78"/>
        <v>426.5</v>
      </c>
      <c r="F136" s="484">
        <f t="shared" si="79"/>
        <v>108.72491459198494</v>
      </c>
      <c r="G136" s="497">
        <f aca="true" t="shared" si="93" ref="G136:M136">G137</f>
        <v>5040.1</v>
      </c>
      <c r="H136" s="497">
        <f t="shared" si="93"/>
        <v>4620.1</v>
      </c>
      <c r="I136" s="488">
        <f t="shared" si="93"/>
        <v>4620.1</v>
      </c>
      <c r="J136" s="497">
        <f t="shared" si="93"/>
        <v>5040.1</v>
      </c>
      <c r="K136" s="488">
        <f t="shared" si="93"/>
        <v>5040.1</v>
      </c>
      <c r="L136" s="497">
        <f t="shared" si="93"/>
        <v>5314.8</v>
      </c>
      <c r="M136" s="497" t="e">
        <f t="shared" si="93"/>
        <v>#REF!</v>
      </c>
      <c r="N136" s="536">
        <f t="shared" si="81"/>
        <v>105.4502886847483</v>
      </c>
      <c r="O136" s="484">
        <f t="shared" si="82"/>
        <v>115.0364710720547</v>
      </c>
      <c r="P136" s="536">
        <f t="shared" si="83"/>
        <v>105.4502886847483</v>
      </c>
      <c r="Q136" s="484">
        <f t="shared" si="84"/>
        <v>694.6999999999998</v>
      </c>
      <c r="R136" s="497">
        <f t="shared" si="85"/>
        <v>274.6999999999998</v>
      </c>
      <c r="S136" s="460">
        <f t="shared" si="72"/>
        <v>0</v>
      </c>
      <c r="T136" s="461">
        <f t="shared" si="73"/>
        <v>0</v>
      </c>
      <c r="U136" s="461">
        <f t="shared" si="74"/>
        <v>0</v>
      </c>
      <c r="V136" s="461">
        <f t="shared" si="75"/>
        <v>0</v>
      </c>
      <c r="W136" s="462">
        <f t="shared" si="76"/>
        <v>0</v>
      </c>
      <c r="X136" s="461">
        <f t="shared" si="77"/>
        <v>0</v>
      </c>
    </row>
    <row r="137" spans="1:24" s="568" customFormat="1" ht="47.25">
      <c r="A137" s="611" t="s">
        <v>257</v>
      </c>
      <c r="B137" s="458">
        <v>31030000</v>
      </c>
      <c r="C137" s="485">
        <v>4888.3</v>
      </c>
      <c r="D137" s="485">
        <v>4888.3</v>
      </c>
      <c r="E137" s="459">
        <f t="shared" si="78"/>
        <v>426.5</v>
      </c>
      <c r="F137" s="459">
        <f t="shared" si="79"/>
        <v>108.72491459198494</v>
      </c>
      <c r="G137" s="485">
        <f>3247.8+388.4+1403.9</f>
        <v>5040.1</v>
      </c>
      <c r="H137" s="485">
        <f>ROUND(G137*$T$6,1)</f>
        <v>4620.1</v>
      </c>
      <c r="I137" s="524">
        <f>ROUND((G137*$T$7+G137*$T$8),1)</f>
        <v>4620.1</v>
      </c>
      <c r="J137" s="485">
        <v>5040.1</v>
      </c>
      <c r="K137" s="524">
        <v>5040.1</v>
      </c>
      <c r="L137" s="485">
        <v>5314.8</v>
      </c>
      <c r="M137" s="456" t="e">
        <f>L137-#REF!</f>
        <v>#REF!</v>
      </c>
      <c r="N137" s="537">
        <f t="shared" si="81"/>
        <v>105.4502886847483</v>
      </c>
      <c r="O137" s="459">
        <f t="shared" si="82"/>
        <v>115.0364710720547</v>
      </c>
      <c r="P137" s="537">
        <f t="shared" si="83"/>
        <v>105.4502886847483</v>
      </c>
      <c r="Q137" s="459">
        <f t="shared" si="84"/>
        <v>694.6999999999998</v>
      </c>
      <c r="R137" s="485">
        <f t="shared" si="85"/>
        <v>274.6999999999998</v>
      </c>
      <c r="S137" s="460">
        <f t="shared" si="72"/>
        <v>0</v>
      </c>
      <c r="T137" s="461">
        <f t="shared" si="73"/>
        <v>0</v>
      </c>
      <c r="U137" s="461">
        <f t="shared" si="74"/>
        <v>0</v>
      </c>
      <c r="V137" s="461">
        <f t="shared" si="75"/>
        <v>0</v>
      </c>
      <c r="W137" s="462">
        <f t="shared" si="76"/>
        <v>0</v>
      </c>
      <c r="X137" s="461">
        <f t="shared" si="77"/>
        <v>0</v>
      </c>
    </row>
    <row r="138" spans="1:24" s="574" customFormat="1" ht="31.5">
      <c r="A138" s="572" t="s">
        <v>258</v>
      </c>
      <c r="B138" s="573">
        <v>33000000</v>
      </c>
      <c r="C138" s="497">
        <f>C139</f>
        <v>1101.1</v>
      </c>
      <c r="D138" s="497">
        <f>D139</f>
        <v>1101.1</v>
      </c>
      <c r="E138" s="484">
        <f t="shared" si="78"/>
        <v>-1087.1</v>
      </c>
      <c r="F138" s="484">
        <f t="shared" si="79"/>
        <v>1.2714558169103625</v>
      </c>
      <c r="G138" s="497">
        <f aca="true" t="shared" si="94" ref="G138:M139">G139</f>
        <v>950</v>
      </c>
      <c r="H138" s="497">
        <f t="shared" si="94"/>
        <v>870.8</v>
      </c>
      <c r="I138" s="488">
        <f t="shared" si="94"/>
        <v>870.8</v>
      </c>
      <c r="J138" s="497">
        <f t="shared" si="94"/>
        <v>950</v>
      </c>
      <c r="K138" s="488">
        <f t="shared" si="94"/>
        <v>950</v>
      </c>
      <c r="L138" s="497">
        <f t="shared" si="94"/>
        <v>14</v>
      </c>
      <c r="M138" s="497" t="e">
        <f t="shared" si="94"/>
        <v>#REF!</v>
      </c>
      <c r="N138" s="536">
        <f t="shared" si="81"/>
        <v>1.4736842105263157</v>
      </c>
      <c r="O138" s="484">
        <f t="shared" si="82"/>
        <v>1.6077170418006432</v>
      </c>
      <c r="P138" s="536">
        <f t="shared" si="83"/>
        <v>1.4736842105263157</v>
      </c>
      <c r="Q138" s="484">
        <f t="shared" si="84"/>
        <v>-856.8</v>
      </c>
      <c r="R138" s="497">
        <f t="shared" si="85"/>
        <v>-936</v>
      </c>
      <c r="S138" s="460">
        <f t="shared" si="72"/>
        <v>0</v>
      </c>
      <c r="T138" s="461">
        <f t="shared" si="73"/>
        <v>0</v>
      </c>
      <c r="U138" s="461">
        <f t="shared" si="74"/>
        <v>0</v>
      </c>
      <c r="V138" s="461">
        <f t="shared" si="75"/>
        <v>0</v>
      </c>
      <c r="W138" s="462">
        <f t="shared" si="76"/>
        <v>0</v>
      </c>
      <c r="X138" s="461">
        <f t="shared" si="77"/>
        <v>0</v>
      </c>
    </row>
    <row r="139" spans="1:24" s="463" customFormat="1" ht="20.25">
      <c r="A139" s="464" t="s">
        <v>259</v>
      </c>
      <c r="B139" s="458">
        <v>33010000</v>
      </c>
      <c r="C139" s="485">
        <f>C140</f>
        <v>1101.1</v>
      </c>
      <c r="D139" s="485">
        <f>D140</f>
        <v>1101.1</v>
      </c>
      <c r="E139" s="459">
        <f t="shared" si="78"/>
        <v>-1087.1</v>
      </c>
      <c r="F139" s="459">
        <f t="shared" si="79"/>
        <v>1.2714558169103625</v>
      </c>
      <c r="G139" s="485">
        <f t="shared" si="94"/>
        <v>950</v>
      </c>
      <c r="H139" s="485">
        <f t="shared" si="94"/>
        <v>870.8</v>
      </c>
      <c r="I139" s="524">
        <f t="shared" si="94"/>
        <v>870.8</v>
      </c>
      <c r="J139" s="485">
        <f t="shared" si="94"/>
        <v>950</v>
      </c>
      <c r="K139" s="524">
        <f t="shared" si="94"/>
        <v>950</v>
      </c>
      <c r="L139" s="485">
        <f t="shared" si="94"/>
        <v>14</v>
      </c>
      <c r="M139" s="485" t="e">
        <f t="shared" si="94"/>
        <v>#REF!</v>
      </c>
      <c r="N139" s="537">
        <f t="shared" si="81"/>
        <v>1.4736842105263157</v>
      </c>
      <c r="O139" s="459">
        <f t="shared" si="82"/>
        <v>1.6077170418006432</v>
      </c>
      <c r="P139" s="537">
        <f t="shared" si="83"/>
        <v>1.4736842105263157</v>
      </c>
      <c r="Q139" s="459">
        <f t="shared" si="84"/>
        <v>-856.8</v>
      </c>
      <c r="R139" s="485">
        <f t="shared" si="85"/>
        <v>-936</v>
      </c>
      <c r="S139" s="460">
        <f t="shared" si="72"/>
        <v>0</v>
      </c>
      <c r="T139" s="461">
        <f t="shared" si="73"/>
        <v>0</v>
      </c>
      <c r="U139" s="461">
        <f t="shared" si="74"/>
        <v>0</v>
      </c>
      <c r="V139" s="461">
        <f t="shared" si="75"/>
        <v>0</v>
      </c>
      <c r="W139" s="462">
        <f t="shared" si="76"/>
        <v>0</v>
      </c>
      <c r="X139" s="461">
        <f t="shared" si="77"/>
        <v>0</v>
      </c>
    </row>
    <row r="140" spans="1:24" s="571" customFormat="1" ht="94.5">
      <c r="A140" s="612" t="s">
        <v>108</v>
      </c>
      <c r="B140" s="570">
        <v>33010100</v>
      </c>
      <c r="C140" s="498">
        <v>1101.1</v>
      </c>
      <c r="D140" s="498">
        <v>1101.1</v>
      </c>
      <c r="E140" s="529">
        <f t="shared" si="78"/>
        <v>-1087.1</v>
      </c>
      <c r="F140" s="529">
        <f t="shared" si="79"/>
        <v>1.2714558169103625</v>
      </c>
      <c r="G140" s="498">
        <v>950</v>
      </c>
      <c r="H140" s="498">
        <f>ROUND(G140*$T$6,1)</f>
        <v>870.8</v>
      </c>
      <c r="I140" s="525">
        <f>ROUND((G140*$T$7+G140*$T$8),1)</f>
        <v>870.8</v>
      </c>
      <c r="J140" s="498">
        <v>950</v>
      </c>
      <c r="K140" s="525">
        <v>950</v>
      </c>
      <c r="L140" s="498">
        <v>14</v>
      </c>
      <c r="M140" s="485" t="e">
        <f>L140-#REF!</f>
        <v>#REF!</v>
      </c>
      <c r="N140" s="538">
        <f t="shared" si="81"/>
        <v>1.4736842105263157</v>
      </c>
      <c r="O140" s="529">
        <f t="shared" si="82"/>
        <v>1.6077170418006432</v>
      </c>
      <c r="P140" s="537">
        <f t="shared" si="83"/>
        <v>1.4736842105263157</v>
      </c>
      <c r="Q140" s="529">
        <f t="shared" si="84"/>
        <v>-856.8</v>
      </c>
      <c r="R140" s="498">
        <f t="shared" si="85"/>
        <v>-936</v>
      </c>
      <c r="S140" s="460">
        <f t="shared" si="72"/>
        <v>0</v>
      </c>
      <c r="T140" s="461">
        <f t="shared" si="73"/>
        <v>0</v>
      </c>
      <c r="U140" s="461">
        <f t="shared" si="74"/>
        <v>0</v>
      </c>
      <c r="V140" s="461">
        <f t="shared" si="75"/>
        <v>0</v>
      </c>
      <c r="W140" s="462">
        <f t="shared" si="76"/>
        <v>0</v>
      </c>
      <c r="X140" s="461">
        <f t="shared" si="77"/>
        <v>0</v>
      </c>
    </row>
    <row r="141" spans="1:24" s="574" customFormat="1" ht="19.5" customHeight="1">
      <c r="A141" s="578" t="s">
        <v>98</v>
      </c>
      <c r="B141" s="573">
        <v>40000000</v>
      </c>
      <c r="C141" s="497">
        <f>C142+C156</f>
        <v>19354.4</v>
      </c>
      <c r="D141" s="497">
        <f>D142+D156</f>
        <v>19320.8</v>
      </c>
      <c r="E141" s="497">
        <f>E142+E156</f>
        <v>30650.000000000004</v>
      </c>
      <c r="F141" s="484">
        <f t="shared" si="79"/>
        <v>258.63732350627305</v>
      </c>
      <c r="G141" s="497">
        <f>G142+G156</f>
        <v>59742.1</v>
      </c>
      <c r="H141" s="497">
        <f aca="true" t="shared" si="95" ref="H141:M141">H142+H156</f>
        <v>51472.799999999996</v>
      </c>
      <c r="I141" s="497">
        <f t="shared" si="95"/>
        <v>51472.799999999996</v>
      </c>
      <c r="J141" s="497">
        <f t="shared" si="95"/>
        <v>59742.1</v>
      </c>
      <c r="K141" s="497">
        <f t="shared" si="95"/>
        <v>59742.1</v>
      </c>
      <c r="L141" s="497">
        <f t="shared" si="95"/>
        <v>49970.8</v>
      </c>
      <c r="M141" s="497" t="e">
        <f t="shared" si="95"/>
        <v>#REF!</v>
      </c>
      <c r="N141" s="536">
        <f t="shared" si="81"/>
        <v>83.64419730809597</v>
      </c>
      <c r="O141" s="484">
        <f t="shared" si="82"/>
        <v>97.08195396403538</v>
      </c>
      <c r="P141" s="536">
        <f t="shared" si="83"/>
        <v>83.64419730809597</v>
      </c>
      <c r="Q141" s="484">
        <f t="shared" si="84"/>
        <v>-1501.9999999999927</v>
      </c>
      <c r="R141" s="497">
        <f t="shared" si="85"/>
        <v>-9771.299999999996</v>
      </c>
      <c r="S141" s="460">
        <f t="shared" si="72"/>
        <v>0</v>
      </c>
      <c r="T141" s="461">
        <f t="shared" si="73"/>
        <v>0</v>
      </c>
      <c r="U141" s="461">
        <f t="shared" si="74"/>
        <v>0</v>
      </c>
      <c r="V141" s="461">
        <f t="shared" si="75"/>
        <v>0</v>
      </c>
      <c r="W141" s="462">
        <f t="shared" si="76"/>
        <v>0</v>
      </c>
      <c r="X141" s="461">
        <f t="shared" si="77"/>
        <v>0</v>
      </c>
    </row>
    <row r="142" spans="1:24" s="574" customFormat="1" ht="17.25" customHeight="1">
      <c r="A142" s="572" t="s">
        <v>99</v>
      </c>
      <c r="B142" s="573">
        <v>41000000</v>
      </c>
      <c r="C142" s="497">
        <f>C143</f>
        <v>19354.4</v>
      </c>
      <c r="D142" s="497">
        <f>D143</f>
        <v>19320.8</v>
      </c>
      <c r="E142" s="484">
        <f t="shared" si="78"/>
        <v>30650.000000000004</v>
      </c>
      <c r="F142" s="484">
        <f t="shared" si="79"/>
        <v>258.63732350627305</v>
      </c>
      <c r="G142" s="497">
        <f aca="true" t="shared" si="96" ref="G142:M142">G143</f>
        <v>55902.1</v>
      </c>
      <c r="H142" s="497">
        <f t="shared" si="96"/>
        <v>51243.6</v>
      </c>
      <c r="I142" s="488">
        <f t="shared" si="96"/>
        <v>51243.6</v>
      </c>
      <c r="J142" s="497">
        <f t="shared" si="96"/>
        <v>55902.1</v>
      </c>
      <c r="K142" s="488">
        <f t="shared" si="96"/>
        <v>55902.1</v>
      </c>
      <c r="L142" s="497">
        <f t="shared" si="96"/>
        <v>49970.8</v>
      </c>
      <c r="M142" s="497" t="e">
        <f t="shared" si="96"/>
        <v>#REF!</v>
      </c>
      <c r="N142" s="536">
        <f t="shared" si="81"/>
        <v>89.38984403090403</v>
      </c>
      <c r="O142" s="484">
        <f t="shared" si="82"/>
        <v>97.51617762998698</v>
      </c>
      <c r="P142" s="536">
        <f t="shared" si="83"/>
        <v>89.38984403090403</v>
      </c>
      <c r="Q142" s="484">
        <f t="shared" si="84"/>
        <v>-1272.7999999999956</v>
      </c>
      <c r="R142" s="497">
        <f t="shared" si="85"/>
        <v>-5931.299999999996</v>
      </c>
      <c r="S142" s="460">
        <f t="shared" si="72"/>
        <v>0</v>
      </c>
      <c r="T142" s="461">
        <f t="shared" si="73"/>
        <v>0</v>
      </c>
      <c r="U142" s="461">
        <f t="shared" si="74"/>
        <v>0</v>
      </c>
      <c r="V142" s="461">
        <f t="shared" si="75"/>
        <v>0</v>
      </c>
      <c r="W142" s="462">
        <f t="shared" si="76"/>
        <v>0</v>
      </c>
      <c r="X142" s="461">
        <f t="shared" si="77"/>
        <v>0</v>
      </c>
    </row>
    <row r="143" spans="1:24" s="574" customFormat="1" ht="31.5">
      <c r="A143" s="578" t="s">
        <v>335</v>
      </c>
      <c r="B143" s="573">
        <v>41050000</v>
      </c>
      <c r="C143" s="497">
        <f>C149+C146</f>
        <v>19354.4</v>
      </c>
      <c r="D143" s="497">
        <f>D149+D146+D144+D147+D148</f>
        <v>19320.8</v>
      </c>
      <c r="E143" s="484">
        <f t="shared" si="78"/>
        <v>30650.000000000004</v>
      </c>
      <c r="F143" s="484">
        <f t="shared" si="79"/>
        <v>258.63732350627305</v>
      </c>
      <c r="G143" s="497">
        <f aca="true" t="shared" si="97" ref="G143:M143">G149+G146+G144+G147+G148</f>
        <v>55902.1</v>
      </c>
      <c r="H143" s="497">
        <f t="shared" si="97"/>
        <v>51243.6</v>
      </c>
      <c r="I143" s="488">
        <f t="shared" si="97"/>
        <v>51243.6</v>
      </c>
      <c r="J143" s="497">
        <f t="shared" si="97"/>
        <v>55902.1</v>
      </c>
      <c r="K143" s="488">
        <f t="shared" si="97"/>
        <v>55902.1</v>
      </c>
      <c r="L143" s="497">
        <f t="shared" si="97"/>
        <v>49970.8</v>
      </c>
      <c r="M143" s="497" t="e">
        <f t="shared" si="97"/>
        <v>#REF!</v>
      </c>
      <c r="N143" s="536">
        <f t="shared" si="81"/>
        <v>89.38984403090403</v>
      </c>
      <c r="O143" s="484">
        <f t="shared" si="82"/>
        <v>97.51617762998698</v>
      </c>
      <c r="P143" s="536">
        <f t="shared" si="83"/>
        <v>89.38984403090403</v>
      </c>
      <c r="Q143" s="484">
        <f t="shared" si="84"/>
        <v>-1272.7999999999956</v>
      </c>
      <c r="R143" s="497">
        <f t="shared" si="85"/>
        <v>-5931.299999999996</v>
      </c>
      <c r="S143" s="460">
        <f t="shared" si="72"/>
        <v>0</v>
      </c>
      <c r="T143" s="461">
        <f t="shared" si="73"/>
        <v>0</v>
      </c>
      <c r="U143" s="461">
        <f t="shared" si="74"/>
        <v>0</v>
      </c>
      <c r="V143" s="461">
        <f t="shared" si="75"/>
        <v>0</v>
      </c>
      <c r="W143" s="462">
        <f t="shared" si="76"/>
        <v>0</v>
      </c>
      <c r="X143" s="461">
        <f t="shared" si="77"/>
        <v>0</v>
      </c>
    </row>
    <row r="144" spans="1:24" s="463" customFormat="1" ht="47.25">
      <c r="A144" s="464" t="s">
        <v>20</v>
      </c>
      <c r="B144" s="458">
        <v>41051100</v>
      </c>
      <c r="C144" s="485"/>
      <c r="D144" s="485">
        <f>D145</f>
        <v>0</v>
      </c>
      <c r="E144" s="459">
        <f t="shared" si="78"/>
        <v>2700</v>
      </c>
      <c r="F144" s="465" t="e">
        <f>L144/D144*100</f>
        <v>#DIV/0!</v>
      </c>
      <c r="G144" s="485">
        <f aca="true" t="shared" si="98" ref="G144:M144">G145</f>
        <v>2700</v>
      </c>
      <c r="H144" s="485">
        <f t="shared" si="98"/>
        <v>2475</v>
      </c>
      <c r="I144" s="524">
        <f t="shared" si="98"/>
        <v>2475</v>
      </c>
      <c r="J144" s="485">
        <f t="shared" si="98"/>
        <v>2700</v>
      </c>
      <c r="K144" s="524">
        <f t="shared" si="98"/>
        <v>2700</v>
      </c>
      <c r="L144" s="485">
        <f t="shared" si="98"/>
        <v>2700</v>
      </c>
      <c r="M144" s="485" t="e">
        <f t="shared" si="98"/>
        <v>#REF!</v>
      </c>
      <c r="N144" s="537">
        <f t="shared" si="81"/>
        <v>100</v>
      </c>
      <c r="O144" s="459">
        <f t="shared" si="82"/>
        <v>109.09090909090908</v>
      </c>
      <c r="P144" s="537">
        <f t="shared" si="83"/>
        <v>100</v>
      </c>
      <c r="Q144" s="459">
        <f t="shared" si="84"/>
        <v>225</v>
      </c>
      <c r="R144" s="485">
        <f t="shared" si="85"/>
        <v>0</v>
      </c>
      <c r="S144" s="469"/>
      <c r="T144" s="470"/>
      <c r="U144" s="470"/>
      <c r="V144" s="470"/>
      <c r="W144" s="471"/>
      <c r="X144" s="470"/>
    </row>
    <row r="145" spans="1:24" s="463" customFormat="1" ht="31.5">
      <c r="A145" s="464" t="s">
        <v>17</v>
      </c>
      <c r="B145" s="458"/>
      <c r="C145" s="485"/>
      <c r="D145" s="485"/>
      <c r="E145" s="459">
        <f t="shared" si="78"/>
        <v>2700</v>
      </c>
      <c r="F145" s="465" t="e">
        <f>L145/D145*100</f>
        <v>#DIV/0!</v>
      </c>
      <c r="G145" s="485">
        <v>2700</v>
      </c>
      <c r="H145" s="485">
        <f>ROUND(G145*$T$6,1)</f>
        <v>2475</v>
      </c>
      <c r="I145" s="524">
        <f>ROUND((G145*$T$7+G145*$T$8),1)</f>
        <v>2475</v>
      </c>
      <c r="J145" s="485">
        <v>2700</v>
      </c>
      <c r="K145" s="524">
        <v>2700</v>
      </c>
      <c r="L145" s="485">
        <v>2700</v>
      </c>
      <c r="M145" s="485" t="e">
        <f>L145-#REF!</f>
        <v>#REF!</v>
      </c>
      <c r="N145" s="537">
        <f t="shared" si="81"/>
        <v>100</v>
      </c>
      <c r="O145" s="459">
        <f t="shared" si="82"/>
        <v>109.09090909090908</v>
      </c>
      <c r="P145" s="537">
        <f t="shared" si="83"/>
        <v>100</v>
      </c>
      <c r="Q145" s="459">
        <f t="shared" si="84"/>
        <v>225</v>
      </c>
      <c r="R145" s="485">
        <f t="shared" si="85"/>
        <v>0</v>
      </c>
      <c r="S145" s="469"/>
      <c r="T145" s="470"/>
      <c r="U145" s="470"/>
      <c r="V145" s="470"/>
      <c r="W145" s="471"/>
      <c r="X145" s="470"/>
    </row>
    <row r="146" spans="1:24" s="574" customFormat="1" ht="63">
      <c r="A146" s="464" t="s">
        <v>357</v>
      </c>
      <c r="B146" s="458">
        <v>41052300</v>
      </c>
      <c r="C146" s="485">
        <v>19050</v>
      </c>
      <c r="D146" s="485">
        <v>19050</v>
      </c>
      <c r="E146" s="459">
        <f t="shared" si="78"/>
        <v>-19050</v>
      </c>
      <c r="F146" s="530">
        <f>L146/D146*100</f>
        <v>0</v>
      </c>
      <c r="G146" s="485"/>
      <c r="H146" s="485">
        <f>ROUND(G146*$T$6,1)</f>
        <v>0</v>
      </c>
      <c r="I146" s="524">
        <f>G146/12*6+G146/12*18/22</f>
        <v>0</v>
      </c>
      <c r="J146" s="485"/>
      <c r="K146" s="524"/>
      <c r="L146" s="485"/>
      <c r="M146" s="628" t="e">
        <f>L146-#REF!</f>
        <v>#REF!</v>
      </c>
      <c r="N146" s="539" t="e">
        <f t="shared" si="81"/>
        <v>#DIV/0!</v>
      </c>
      <c r="O146" s="465" t="e">
        <f t="shared" si="82"/>
        <v>#DIV/0!</v>
      </c>
      <c r="P146" s="539" t="e">
        <f t="shared" si="83"/>
        <v>#DIV/0!</v>
      </c>
      <c r="Q146" s="465">
        <f t="shared" si="84"/>
        <v>0</v>
      </c>
      <c r="R146" s="542">
        <f t="shared" si="85"/>
        <v>0</v>
      </c>
      <c r="S146" s="460"/>
      <c r="T146" s="461"/>
      <c r="U146" s="461"/>
      <c r="V146" s="461"/>
      <c r="W146" s="462"/>
      <c r="X146" s="461"/>
    </row>
    <row r="147" spans="1:24" s="574" customFormat="1" ht="110.25">
      <c r="A147" s="464" t="s">
        <v>13</v>
      </c>
      <c r="B147" s="458">
        <v>41052600</v>
      </c>
      <c r="C147" s="485"/>
      <c r="D147" s="485"/>
      <c r="E147" s="459">
        <f t="shared" si="78"/>
        <v>45819.8</v>
      </c>
      <c r="F147" s="530"/>
      <c r="G147" s="485">
        <v>45900</v>
      </c>
      <c r="H147" s="485">
        <f>ROUND(G147*$T$6,1)</f>
        <v>42075</v>
      </c>
      <c r="I147" s="524">
        <f>ROUND((G147*$T$7+G147*$T$8),1)</f>
        <v>42075</v>
      </c>
      <c r="J147" s="485">
        <v>45900</v>
      </c>
      <c r="K147" s="524">
        <v>45900</v>
      </c>
      <c r="L147" s="485">
        <v>45819.8</v>
      </c>
      <c r="M147" s="485" t="e">
        <f>L147-#REF!</f>
        <v>#REF!</v>
      </c>
      <c r="N147" s="537">
        <f t="shared" si="81"/>
        <v>99.8252723311547</v>
      </c>
      <c r="O147" s="459">
        <f t="shared" si="82"/>
        <v>108.9002970885324</v>
      </c>
      <c r="P147" s="537">
        <f t="shared" si="83"/>
        <v>99.8252723311547</v>
      </c>
      <c r="Q147" s="459">
        <f t="shared" si="84"/>
        <v>3744.800000000003</v>
      </c>
      <c r="R147" s="485">
        <f t="shared" si="85"/>
        <v>-80.19999999999709</v>
      </c>
      <c r="S147" s="460"/>
      <c r="T147" s="461"/>
      <c r="U147" s="461"/>
      <c r="V147" s="461"/>
      <c r="W147" s="462"/>
      <c r="X147" s="461"/>
    </row>
    <row r="148" spans="1:24" s="574" customFormat="1" ht="236.25">
      <c r="A148" s="464" t="s">
        <v>176</v>
      </c>
      <c r="B148" s="458">
        <v>41052900</v>
      </c>
      <c r="C148" s="485"/>
      <c r="D148" s="485"/>
      <c r="E148" s="459">
        <f>L148-D148</f>
        <v>0</v>
      </c>
      <c r="F148" s="530"/>
      <c r="G148" s="485">
        <f>7740-1888.9</f>
        <v>5851.1</v>
      </c>
      <c r="H148" s="485">
        <f>ROUND(G148*$T$6,1)</f>
        <v>5363.5</v>
      </c>
      <c r="I148" s="524">
        <f>ROUND((G148*$T$7+G148*$T$8),1)</f>
        <v>5363.5</v>
      </c>
      <c r="J148" s="485">
        <v>5851.1</v>
      </c>
      <c r="K148" s="524">
        <v>5851.1</v>
      </c>
      <c r="L148" s="485"/>
      <c r="M148" s="485"/>
      <c r="N148" s="537">
        <f>L148/G148*100</f>
        <v>0</v>
      </c>
      <c r="O148" s="459">
        <f>L148/I148*100</f>
        <v>0</v>
      </c>
      <c r="P148" s="537">
        <f>L148/K148*100</f>
        <v>0</v>
      </c>
      <c r="Q148" s="459">
        <f>L148-I148</f>
        <v>-5363.5</v>
      </c>
      <c r="R148" s="485">
        <f>L148-K148</f>
        <v>-5851.1</v>
      </c>
      <c r="S148" s="460"/>
      <c r="T148" s="461"/>
      <c r="U148" s="461"/>
      <c r="V148" s="461"/>
      <c r="W148" s="462"/>
      <c r="X148" s="461"/>
    </row>
    <row r="149" spans="1:24" s="463" customFormat="1" ht="31.5">
      <c r="A149" s="464" t="s">
        <v>347</v>
      </c>
      <c r="B149" s="458">
        <v>41053900</v>
      </c>
      <c r="C149" s="485">
        <f>C150+C154</f>
        <v>304.4</v>
      </c>
      <c r="D149" s="485">
        <f>D150+D154</f>
        <v>270.8</v>
      </c>
      <c r="E149" s="485">
        <f>E150+E154</f>
        <v>1180.2</v>
      </c>
      <c r="F149" s="459">
        <f aca="true" t="shared" si="99" ref="F149:F155">L149/D149*100</f>
        <v>535.8197932053175</v>
      </c>
      <c r="G149" s="485">
        <f>G150+G154</f>
        <v>1451</v>
      </c>
      <c r="H149" s="485">
        <f aca="true" t="shared" si="100" ref="H149:M149">H150+H154</f>
        <v>1330.1</v>
      </c>
      <c r="I149" s="524">
        <f t="shared" si="100"/>
        <v>1330.1</v>
      </c>
      <c r="J149" s="485">
        <f t="shared" si="100"/>
        <v>1451</v>
      </c>
      <c r="K149" s="524">
        <f t="shared" si="100"/>
        <v>1451</v>
      </c>
      <c r="L149" s="485">
        <f t="shared" si="100"/>
        <v>1451</v>
      </c>
      <c r="M149" s="485" t="e">
        <f t="shared" si="100"/>
        <v>#REF!</v>
      </c>
      <c r="N149" s="537">
        <f t="shared" si="81"/>
        <v>100</v>
      </c>
      <c r="O149" s="459">
        <f t="shared" si="82"/>
        <v>109.08954213968876</v>
      </c>
      <c r="P149" s="537">
        <f t="shared" si="83"/>
        <v>100</v>
      </c>
      <c r="Q149" s="459">
        <f t="shared" si="84"/>
        <v>120.90000000000009</v>
      </c>
      <c r="R149" s="485">
        <f t="shared" si="85"/>
        <v>0</v>
      </c>
      <c r="S149" s="460" t="e">
        <f>#REF!-#REF!-#REF!</f>
        <v>#REF!</v>
      </c>
      <c r="T149" s="461" t="e">
        <f>#REF!-#REF!-#REF!</f>
        <v>#REF!</v>
      </c>
      <c r="U149" s="461" t="e">
        <f>#REF!/#REF!*100-#REF!</f>
        <v>#REF!</v>
      </c>
      <c r="V149" s="461" t="e">
        <f>#REF!/#REF!*100-#REF!</f>
        <v>#REF!</v>
      </c>
      <c r="W149" s="462" t="e">
        <f>#REF!-#REF!</f>
        <v>#REF!</v>
      </c>
      <c r="X149" s="461" t="e">
        <f>#REF!-#REF!</f>
        <v>#REF!</v>
      </c>
    </row>
    <row r="150" spans="1:24" s="463" customFormat="1" ht="20.25">
      <c r="A150" s="464" t="s">
        <v>24</v>
      </c>
      <c r="B150" s="613"/>
      <c r="C150" s="485">
        <f>C151+C152+C153</f>
        <v>304.4</v>
      </c>
      <c r="D150" s="485">
        <f>D151+D152+D153</f>
        <v>270.8</v>
      </c>
      <c r="E150" s="459">
        <f>E151+E152</f>
        <v>930.2</v>
      </c>
      <c r="F150" s="459">
        <f t="shared" si="99"/>
        <v>443.5007385524372</v>
      </c>
      <c r="G150" s="485">
        <f aca="true" t="shared" si="101" ref="G150:M150">G151+G152+G153</f>
        <v>1201</v>
      </c>
      <c r="H150" s="485">
        <f t="shared" si="101"/>
        <v>1100.8999999999999</v>
      </c>
      <c r="I150" s="524">
        <f t="shared" si="101"/>
        <v>1100.8999999999999</v>
      </c>
      <c r="J150" s="485">
        <f t="shared" si="101"/>
        <v>1201</v>
      </c>
      <c r="K150" s="524">
        <f t="shared" si="101"/>
        <v>1201</v>
      </c>
      <c r="L150" s="485">
        <f t="shared" si="101"/>
        <v>1201</v>
      </c>
      <c r="M150" s="485" t="e">
        <f t="shared" si="101"/>
        <v>#REF!</v>
      </c>
      <c r="N150" s="537">
        <f t="shared" si="81"/>
        <v>100</v>
      </c>
      <c r="O150" s="459">
        <f t="shared" si="82"/>
        <v>109.09256063221002</v>
      </c>
      <c r="P150" s="537">
        <f t="shared" si="83"/>
        <v>100</v>
      </c>
      <c r="Q150" s="459">
        <f t="shared" si="84"/>
        <v>100.10000000000014</v>
      </c>
      <c r="R150" s="485">
        <f t="shared" si="85"/>
        <v>0</v>
      </c>
      <c r="S150" s="460"/>
      <c r="T150" s="461"/>
      <c r="U150" s="461"/>
      <c r="V150" s="461"/>
      <c r="W150" s="462"/>
      <c r="X150" s="461"/>
    </row>
    <row r="151" spans="1:24" s="571" customFormat="1" ht="31.5">
      <c r="A151" s="614" t="s">
        <v>25</v>
      </c>
      <c r="B151" s="630"/>
      <c r="C151" s="498">
        <v>304.4</v>
      </c>
      <c r="D151" s="498">
        <v>270.8</v>
      </c>
      <c r="E151" s="529">
        <f t="shared" si="78"/>
        <v>-109.80000000000001</v>
      </c>
      <c r="F151" s="529">
        <f t="shared" si="99"/>
        <v>59.45347119645494</v>
      </c>
      <c r="G151" s="498">
        <f>135-4</f>
        <v>131</v>
      </c>
      <c r="H151" s="498">
        <f>ROUND(G151*$T$6,1)</f>
        <v>120.1</v>
      </c>
      <c r="I151" s="525">
        <f>ROUND((G151*$T$7+G151*$T$8),1)</f>
        <v>120.1</v>
      </c>
      <c r="J151" s="498">
        <v>131</v>
      </c>
      <c r="K151" s="525">
        <v>131</v>
      </c>
      <c r="L151" s="498">
        <v>161</v>
      </c>
      <c r="M151" s="498" t="e">
        <f>L151-#REF!</f>
        <v>#REF!</v>
      </c>
      <c r="N151" s="538">
        <f>L151/G151*100</f>
        <v>122.90076335877862</v>
      </c>
      <c r="O151" s="529">
        <f>L151/I151*100</f>
        <v>134.0549542048293</v>
      </c>
      <c r="P151" s="538">
        <f>L151/K151*100</f>
        <v>122.90076335877862</v>
      </c>
      <c r="Q151" s="529">
        <f>L151-I151</f>
        <v>40.900000000000006</v>
      </c>
      <c r="R151" s="498">
        <f>L151-K151</f>
        <v>30</v>
      </c>
      <c r="S151" s="631"/>
      <c r="T151" s="632"/>
      <c r="U151" s="632"/>
      <c r="V151" s="632"/>
      <c r="W151" s="633"/>
      <c r="X151" s="632"/>
    </row>
    <row r="152" spans="1:24" s="571" customFormat="1" ht="31.5">
      <c r="A152" s="615" t="s">
        <v>26</v>
      </c>
      <c r="B152" s="630"/>
      <c r="C152" s="498"/>
      <c r="D152" s="498"/>
      <c r="E152" s="529">
        <f t="shared" si="78"/>
        <v>1040</v>
      </c>
      <c r="F152" s="543" t="e">
        <f t="shared" si="99"/>
        <v>#DIV/0!</v>
      </c>
      <c r="G152" s="498">
        <f>250+500+50+156+114</f>
        <v>1070</v>
      </c>
      <c r="H152" s="498">
        <f>ROUND(G152*$T$6,1)</f>
        <v>980.8</v>
      </c>
      <c r="I152" s="525">
        <f>ROUND((G152*$T$7+G152*$T$8),1)</f>
        <v>980.8</v>
      </c>
      <c r="J152" s="498">
        <v>1070</v>
      </c>
      <c r="K152" s="525">
        <v>1070</v>
      </c>
      <c r="L152" s="498">
        <v>1040</v>
      </c>
      <c r="M152" s="498" t="e">
        <f>L152-#REF!</f>
        <v>#REF!</v>
      </c>
      <c r="N152" s="538">
        <f t="shared" si="81"/>
        <v>97.19626168224299</v>
      </c>
      <c r="O152" s="529">
        <f t="shared" si="82"/>
        <v>106.03588907014682</v>
      </c>
      <c r="P152" s="538">
        <f t="shared" si="83"/>
        <v>97.19626168224299</v>
      </c>
      <c r="Q152" s="529">
        <f t="shared" si="84"/>
        <v>59.200000000000045</v>
      </c>
      <c r="R152" s="498">
        <f t="shared" si="85"/>
        <v>-30</v>
      </c>
      <c r="S152" s="631"/>
      <c r="T152" s="632"/>
      <c r="U152" s="632"/>
      <c r="V152" s="632"/>
      <c r="W152" s="633"/>
      <c r="X152" s="632"/>
    </row>
    <row r="153" spans="1:24" s="622" customFormat="1" ht="20.25" hidden="1">
      <c r="A153" s="625"/>
      <c r="B153" s="626"/>
      <c r="C153" s="524"/>
      <c r="D153" s="524"/>
      <c r="E153" s="546"/>
      <c r="F153" s="627"/>
      <c r="G153" s="485"/>
      <c r="H153" s="524">
        <f>ROUND(G153*$T$6,1)</f>
        <v>0</v>
      </c>
      <c r="I153" s="524">
        <f>ROUND((G153*$T$7+G153*$T$8),1)</f>
        <v>0</v>
      </c>
      <c r="J153" s="485"/>
      <c r="K153" s="524"/>
      <c r="L153" s="524"/>
      <c r="M153" s="524">
        <f>L153</f>
        <v>0</v>
      </c>
      <c r="N153" s="547"/>
      <c r="O153" s="546"/>
      <c r="P153" s="547"/>
      <c r="Q153" s="546">
        <f>L153-I153</f>
        <v>0</v>
      </c>
      <c r="R153" s="524">
        <f>L153-K153</f>
        <v>0</v>
      </c>
      <c r="S153" s="505"/>
      <c r="T153" s="506"/>
      <c r="U153" s="506"/>
      <c r="V153" s="506"/>
      <c r="W153" s="507"/>
      <c r="X153" s="506"/>
    </row>
    <row r="154" spans="1:24" s="463" customFormat="1" ht="31.5">
      <c r="A154" s="629" t="s">
        <v>12</v>
      </c>
      <c r="B154" s="613"/>
      <c r="C154" s="485"/>
      <c r="D154" s="485"/>
      <c r="E154" s="459">
        <f t="shared" si="78"/>
        <v>250</v>
      </c>
      <c r="F154" s="465" t="e">
        <f t="shared" si="99"/>
        <v>#DIV/0!</v>
      </c>
      <c r="G154" s="485">
        <f aca="true" t="shared" si="102" ref="G154:M154">G155</f>
        <v>250</v>
      </c>
      <c r="H154" s="485">
        <f t="shared" si="102"/>
        <v>229.2</v>
      </c>
      <c r="I154" s="524">
        <f t="shared" si="102"/>
        <v>229.2</v>
      </c>
      <c r="J154" s="485">
        <f t="shared" si="102"/>
        <v>250</v>
      </c>
      <c r="K154" s="524">
        <f t="shared" si="102"/>
        <v>250</v>
      </c>
      <c r="L154" s="485">
        <f t="shared" si="102"/>
        <v>250</v>
      </c>
      <c r="M154" s="485" t="e">
        <f t="shared" si="102"/>
        <v>#REF!</v>
      </c>
      <c r="N154" s="537">
        <f t="shared" si="81"/>
        <v>100</v>
      </c>
      <c r="O154" s="459">
        <f t="shared" si="82"/>
        <v>109.07504363001746</v>
      </c>
      <c r="P154" s="537">
        <f t="shared" si="83"/>
        <v>100</v>
      </c>
      <c r="Q154" s="459">
        <f t="shared" si="84"/>
        <v>20.80000000000001</v>
      </c>
      <c r="R154" s="485">
        <f t="shared" si="85"/>
        <v>0</v>
      </c>
      <c r="S154" s="460"/>
      <c r="T154" s="461"/>
      <c r="U154" s="461"/>
      <c r="V154" s="461"/>
      <c r="W154" s="462"/>
      <c r="X154" s="461"/>
    </row>
    <row r="155" spans="1:24" s="571" customFormat="1" ht="63">
      <c r="A155" s="615" t="s">
        <v>11</v>
      </c>
      <c r="B155" s="630"/>
      <c r="C155" s="498"/>
      <c r="D155" s="498"/>
      <c r="E155" s="529">
        <f t="shared" si="78"/>
        <v>250</v>
      </c>
      <c r="F155" s="543" t="e">
        <f t="shared" si="99"/>
        <v>#DIV/0!</v>
      </c>
      <c r="G155" s="498">
        <v>250</v>
      </c>
      <c r="H155" s="498">
        <f>ROUND(G155*$T$6,1)</f>
        <v>229.2</v>
      </c>
      <c r="I155" s="525">
        <f>ROUND((G155*$T$7+G155*$T$8),1)</f>
        <v>229.2</v>
      </c>
      <c r="J155" s="498">
        <v>250</v>
      </c>
      <c r="K155" s="525">
        <v>250</v>
      </c>
      <c r="L155" s="498">
        <v>250</v>
      </c>
      <c r="M155" s="498" t="e">
        <f>L155-#REF!</f>
        <v>#REF!</v>
      </c>
      <c r="N155" s="538">
        <f t="shared" si="81"/>
        <v>100</v>
      </c>
      <c r="O155" s="529">
        <f t="shared" si="82"/>
        <v>109.07504363001746</v>
      </c>
      <c r="P155" s="538">
        <f t="shared" si="83"/>
        <v>100</v>
      </c>
      <c r="Q155" s="529">
        <f t="shared" si="84"/>
        <v>20.80000000000001</v>
      </c>
      <c r="R155" s="498">
        <f t="shared" si="85"/>
        <v>0</v>
      </c>
      <c r="S155" s="631"/>
      <c r="T155" s="632"/>
      <c r="U155" s="632"/>
      <c r="V155" s="632"/>
      <c r="W155" s="633"/>
      <c r="X155" s="632"/>
    </row>
    <row r="156" spans="1:24" s="571" customFormat="1" ht="47.25">
      <c r="A156" s="636" t="s">
        <v>182</v>
      </c>
      <c r="B156" s="573">
        <v>42000000</v>
      </c>
      <c r="C156" s="498">
        <f>C157</f>
        <v>0</v>
      </c>
      <c r="D156" s="498">
        <f>D157</f>
        <v>0</v>
      </c>
      <c r="E156" s="498">
        <f>E157</f>
        <v>0</v>
      </c>
      <c r="F156" s="637" t="e">
        <f>F157</f>
        <v>#DIV/0!</v>
      </c>
      <c r="G156" s="498">
        <f>G157</f>
        <v>3840</v>
      </c>
      <c r="H156" s="498">
        <f aca="true" t="shared" si="103" ref="H156:R156">H157</f>
        <v>229.2</v>
      </c>
      <c r="I156" s="498">
        <f t="shared" si="103"/>
        <v>229.2</v>
      </c>
      <c r="J156" s="498">
        <f t="shared" si="103"/>
        <v>3840</v>
      </c>
      <c r="K156" s="498">
        <f t="shared" si="103"/>
        <v>3840</v>
      </c>
      <c r="L156" s="498">
        <f t="shared" si="103"/>
        <v>0</v>
      </c>
      <c r="M156" s="498">
        <f t="shared" si="103"/>
        <v>0</v>
      </c>
      <c r="N156" s="498">
        <f t="shared" si="103"/>
        <v>0</v>
      </c>
      <c r="O156" s="498">
        <f t="shared" si="103"/>
        <v>0</v>
      </c>
      <c r="P156" s="637">
        <f t="shared" si="103"/>
        <v>0</v>
      </c>
      <c r="Q156" s="498">
        <f t="shared" si="103"/>
        <v>-229.2</v>
      </c>
      <c r="R156" s="498">
        <f t="shared" si="103"/>
        <v>-3840</v>
      </c>
      <c r="S156" s="631"/>
      <c r="T156" s="632"/>
      <c r="U156" s="632"/>
      <c r="V156" s="632"/>
      <c r="W156" s="633"/>
      <c r="X156" s="632"/>
    </row>
    <row r="157" spans="1:24" s="463" customFormat="1" ht="31.5">
      <c r="A157" s="629" t="s">
        <v>183</v>
      </c>
      <c r="B157" s="613">
        <v>42020000</v>
      </c>
      <c r="C157" s="485"/>
      <c r="D157" s="485"/>
      <c r="E157" s="529">
        <f>L157-D157</f>
        <v>0</v>
      </c>
      <c r="F157" s="543" t="e">
        <f>L157/D157*100</f>
        <v>#DIV/0!</v>
      </c>
      <c r="G157" s="485">
        <v>3840</v>
      </c>
      <c r="H157" s="485">
        <v>229.2</v>
      </c>
      <c r="I157" s="524">
        <v>229.2</v>
      </c>
      <c r="J157" s="485">
        <v>3840</v>
      </c>
      <c r="K157" s="524">
        <v>3840</v>
      </c>
      <c r="L157" s="485"/>
      <c r="M157" s="485"/>
      <c r="N157" s="537">
        <f>L157/G157*100</f>
        <v>0</v>
      </c>
      <c r="O157" s="459">
        <f>L157/I157*100</f>
        <v>0</v>
      </c>
      <c r="P157" s="535">
        <f>L157/K157*100</f>
        <v>0</v>
      </c>
      <c r="Q157" s="459">
        <f>L157-I157</f>
        <v>-229.2</v>
      </c>
      <c r="R157" s="485">
        <f>L157-K157</f>
        <v>-3840</v>
      </c>
      <c r="S157" s="460"/>
      <c r="T157" s="461"/>
      <c r="U157" s="461"/>
      <c r="V157" s="461"/>
      <c r="W157" s="462"/>
      <c r="X157" s="461"/>
    </row>
    <row r="158" spans="1:24" s="574" customFormat="1" ht="22.5" customHeight="1">
      <c r="A158" s="578" t="s">
        <v>260</v>
      </c>
      <c r="B158" s="573">
        <v>50000000</v>
      </c>
      <c r="C158" s="497">
        <f>SUM(C159:C159)</f>
        <v>999.2</v>
      </c>
      <c r="D158" s="497">
        <f>SUM(D159:D159)</f>
        <v>999.2</v>
      </c>
      <c r="E158" s="484">
        <f t="shared" si="78"/>
        <v>-241.30000000000007</v>
      </c>
      <c r="F158" s="484">
        <f t="shared" si="79"/>
        <v>75.85068054443555</v>
      </c>
      <c r="G158" s="497">
        <f aca="true" t="shared" si="104" ref="G158:M158">SUM(G159:G159)</f>
        <v>1289.7</v>
      </c>
      <c r="H158" s="497">
        <f t="shared" si="104"/>
        <v>1182.3</v>
      </c>
      <c r="I158" s="488">
        <f t="shared" si="104"/>
        <v>1182.3</v>
      </c>
      <c r="J158" s="497">
        <f t="shared" si="104"/>
        <v>1289.6000000000001</v>
      </c>
      <c r="K158" s="488">
        <f t="shared" si="104"/>
        <v>1289.6000000000001</v>
      </c>
      <c r="L158" s="497">
        <f t="shared" si="104"/>
        <v>757.9</v>
      </c>
      <c r="M158" s="497" t="e">
        <f t="shared" si="104"/>
        <v>#REF!</v>
      </c>
      <c r="N158" s="497">
        <f t="shared" si="81"/>
        <v>58.765604404124986</v>
      </c>
      <c r="O158" s="484">
        <f t="shared" si="82"/>
        <v>64.1038653472046</v>
      </c>
      <c r="P158" s="497">
        <f t="shared" si="83"/>
        <v>58.77016129032258</v>
      </c>
      <c r="Q158" s="484">
        <f t="shared" si="84"/>
        <v>-424.4</v>
      </c>
      <c r="R158" s="497">
        <f t="shared" si="85"/>
        <v>-531.7000000000002</v>
      </c>
      <c r="S158" s="460">
        <f>L158-I158-Q158</f>
        <v>0</v>
      </c>
      <c r="T158" s="461">
        <f>L158-K158-R158</f>
        <v>0</v>
      </c>
      <c r="U158" s="461">
        <f>L158/G158*100-N158</f>
        <v>0</v>
      </c>
      <c r="V158" s="461">
        <f>L158/I158*100-O158</f>
        <v>0</v>
      </c>
      <c r="W158" s="462">
        <f aca="true" t="shared" si="105" ref="W158:W164">H158-I158</f>
        <v>0</v>
      </c>
      <c r="X158" s="461">
        <f aca="true" t="shared" si="106" ref="X158:X164">J158-K158</f>
        <v>0</v>
      </c>
    </row>
    <row r="159" spans="1:24" s="568" customFormat="1" ht="63">
      <c r="A159" s="464" t="s">
        <v>308</v>
      </c>
      <c r="B159" s="458">
        <v>50110000</v>
      </c>
      <c r="C159" s="485">
        <v>999.2</v>
      </c>
      <c r="D159" s="485">
        <v>999.2</v>
      </c>
      <c r="E159" s="459">
        <f t="shared" si="78"/>
        <v>-241.30000000000007</v>
      </c>
      <c r="F159" s="459">
        <f t="shared" si="79"/>
        <v>75.85068054443555</v>
      </c>
      <c r="G159" s="485">
        <f>1284.9+4.8</f>
        <v>1289.7</v>
      </c>
      <c r="H159" s="485">
        <f>ROUND(G159*$T$6,1)+0.1</f>
        <v>1182.3</v>
      </c>
      <c r="I159" s="524">
        <f>ROUND((G159*$T$7+G159*$T$8),1)+0.1</f>
        <v>1182.3</v>
      </c>
      <c r="J159" s="485">
        <v>1289.6000000000001</v>
      </c>
      <c r="K159" s="524">
        <v>1289.6000000000001</v>
      </c>
      <c r="L159" s="485">
        <v>757.9</v>
      </c>
      <c r="M159" s="456" t="e">
        <f>L159-#REF!</f>
        <v>#REF!</v>
      </c>
      <c r="N159" s="537">
        <f t="shared" si="81"/>
        <v>58.765604404124986</v>
      </c>
      <c r="O159" s="459">
        <f t="shared" si="82"/>
        <v>64.1038653472046</v>
      </c>
      <c r="P159" s="537">
        <f t="shared" si="83"/>
        <v>58.77016129032258</v>
      </c>
      <c r="Q159" s="459">
        <f t="shared" si="84"/>
        <v>-424.4</v>
      </c>
      <c r="R159" s="485">
        <f t="shared" si="85"/>
        <v>-531.7000000000002</v>
      </c>
      <c r="S159" s="460">
        <f>L159-I159-Q159</f>
        <v>0</v>
      </c>
      <c r="T159" s="461">
        <f>L159-K159-R159</f>
        <v>0</v>
      </c>
      <c r="U159" s="461">
        <f>L159/G159*100-N159</f>
        <v>0</v>
      </c>
      <c r="V159" s="461">
        <f>L159/I159*100-O159</f>
        <v>0</v>
      </c>
      <c r="W159" s="462">
        <f t="shared" si="105"/>
        <v>0</v>
      </c>
      <c r="X159" s="461">
        <f t="shared" si="106"/>
        <v>0</v>
      </c>
    </row>
    <row r="160" spans="1:24" s="513" customFormat="1" ht="18.75" customHeight="1">
      <c r="A160" s="509" t="s">
        <v>283</v>
      </c>
      <c r="B160" s="512"/>
      <c r="C160" s="486">
        <f>C120+C125+C135+C141+C158</f>
        <v>103722.79999999997</v>
      </c>
      <c r="D160" s="486">
        <f>D120+D125+D135+D141+D158</f>
        <v>103689.19999999998</v>
      </c>
      <c r="E160" s="488">
        <f>L160-D160</f>
        <v>48195.399999999994</v>
      </c>
      <c r="F160" s="488">
        <f>L160/D160*100</f>
        <v>146.48063636328567</v>
      </c>
      <c r="G160" s="488">
        <f aca="true" t="shared" si="107" ref="G160:M160">G120+G125+G135+G141+G158</f>
        <v>144171.1</v>
      </c>
      <c r="H160" s="488">
        <f t="shared" si="107"/>
        <v>128866.09999999999</v>
      </c>
      <c r="I160" s="473">
        <f t="shared" si="107"/>
        <v>128866.09999999999</v>
      </c>
      <c r="J160" s="473">
        <f t="shared" si="107"/>
        <v>138323.80000000002</v>
      </c>
      <c r="K160" s="473">
        <f t="shared" si="107"/>
        <v>138323.80000000002</v>
      </c>
      <c r="L160" s="488">
        <f t="shared" si="107"/>
        <v>151884.59999999998</v>
      </c>
      <c r="M160" s="488" t="e">
        <f t="shared" si="107"/>
        <v>#REF!</v>
      </c>
      <c r="N160" s="488">
        <f>L160/G160*100</f>
        <v>105.3502400966629</v>
      </c>
      <c r="O160" s="486">
        <f t="shared" si="82"/>
        <v>117.86233928085042</v>
      </c>
      <c r="P160" s="488">
        <f t="shared" si="83"/>
        <v>109.80366357777906</v>
      </c>
      <c r="Q160" s="486">
        <f t="shared" si="84"/>
        <v>23018.499999999985</v>
      </c>
      <c r="R160" s="488">
        <f t="shared" si="85"/>
        <v>13560.79999999996</v>
      </c>
      <c r="S160" s="505"/>
      <c r="T160" s="506"/>
      <c r="U160" s="506"/>
      <c r="V160" s="506"/>
      <c r="W160" s="507">
        <f t="shared" si="105"/>
        <v>0</v>
      </c>
      <c r="X160" s="506">
        <f t="shared" si="106"/>
        <v>0</v>
      </c>
    </row>
    <row r="161" spans="1:24" s="508" customFormat="1" ht="31.5">
      <c r="A161" s="514" t="s">
        <v>285</v>
      </c>
      <c r="B161" s="504"/>
      <c r="C161" s="486">
        <f>(C160-C141)</f>
        <v>84368.39999999997</v>
      </c>
      <c r="D161" s="488">
        <f>D160-D141</f>
        <v>84368.39999999998</v>
      </c>
      <c r="E161" s="488">
        <f t="shared" si="78"/>
        <v>17545.399999999994</v>
      </c>
      <c r="F161" s="488">
        <f t="shared" si="79"/>
        <v>120.7961748711603</v>
      </c>
      <c r="G161" s="488">
        <f>G160-G141</f>
        <v>84429</v>
      </c>
      <c r="H161" s="488">
        <f>H160-H141</f>
        <v>77393.29999999999</v>
      </c>
      <c r="I161" s="473">
        <f>I160-I141</f>
        <v>77393.29999999999</v>
      </c>
      <c r="J161" s="473">
        <f>J160-J141</f>
        <v>78581.70000000001</v>
      </c>
      <c r="K161" s="473">
        <f>K160-K141</f>
        <v>78581.70000000001</v>
      </c>
      <c r="L161" s="488">
        <f>(L160-L141)</f>
        <v>101913.79999999997</v>
      </c>
      <c r="M161" s="488" t="e">
        <f>(M160-M141)</f>
        <v>#REF!</v>
      </c>
      <c r="N161" s="515">
        <f t="shared" si="81"/>
        <v>120.70947186393298</v>
      </c>
      <c r="O161" s="486">
        <f t="shared" si="82"/>
        <v>131.68297514125896</v>
      </c>
      <c r="P161" s="515">
        <f t="shared" si="83"/>
        <v>129.69151850876216</v>
      </c>
      <c r="Q161" s="486">
        <f t="shared" si="84"/>
        <v>24520.499999999985</v>
      </c>
      <c r="R161" s="488">
        <f t="shared" si="85"/>
        <v>23332.099999999962</v>
      </c>
      <c r="S161" s="505">
        <f>L161-I161-Q161</f>
        <v>0</v>
      </c>
      <c r="T161" s="506">
        <f>L161-K161-R161</f>
        <v>0</v>
      </c>
      <c r="U161" s="506">
        <f>L161/G161*100-N161</f>
        <v>0</v>
      </c>
      <c r="V161" s="506">
        <f>L161/I161*100-O161</f>
        <v>0</v>
      </c>
      <c r="W161" s="507">
        <f t="shared" si="105"/>
        <v>0</v>
      </c>
      <c r="X161" s="506">
        <f t="shared" si="106"/>
        <v>0</v>
      </c>
    </row>
    <row r="162" spans="1:24" s="508" customFormat="1" ht="24" customHeight="1">
      <c r="A162" s="516" t="s">
        <v>286</v>
      </c>
      <c r="B162" s="504"/>
      <c r="C162" s="486">
        <f>C135+C131+C133</f>
        <v>12711.699999999999</v>
      </c>
      <c r="D162" s="486">
        <f>D135+D131+D133</f>
        <v>12711.699999999999</v>
      </c>
      <c r="E162" s="486">
        <f>L162-D162</f>
        <v>-3861.0999999999985</v>
      </c>
      <c r="F162" s="488">
        <f t="shared" si="79"/>
        <v>69.62562049135836</v>
      </c>
      <c r="G162" s="488">
        <f aca="true" t="shared" si="108" ref="G162:M162">G135+G131+G133</f>
        <v>8373.2</v>
      </c>
      <c r="H162" s="488">
        <f t="shared" si="108"/>
        <v>7675.400000000001</v>
      </c>
      <c r="I162" s="473">
        <f t="shared" si="108"/>
        <v>7675.400000000001</v>
      </c>
      <c r="J162" s="473">
        <f t="shared" si="108"/>
        <v>8373.2</v>
      </c>
      <c r="K162" s="473">
        <f t="shared" si="108"/>
        <v>8373.2</v>
      </c>
      <c r="L162" s="488">
        <f t="shared" si="108"/>
        <v>8850.6</v>
      </c>
      <c r="M162" s="488" t="e">
        <f t="shared" si="108"/>
        <v>#REF!</v>
      </c>
      <c r="N162" s="486">
        <f>L162/G162*100</f>
        <v>105.70152390961638</v>
      </c>
      <c r="O162" s="486">
        <f t="shared" si="82"/>
        <v>115.31125413659223</v>
      </c>
      <c r="P162" s="486">
        <f t="shared" si="83"/>
        <v>105.70152390961638</v>
      </c>
      <c r="Q162" s="486">
        <f t="shared" si="84"/>
        <v>1175.1999999999998</v>
      </c>
      <c r="R162" s="486">
        <f t="shared" si="85"/>
        <v>477.39999999999964</v>
      </c>
      <c r="S162" s="505"/>
      <c r="T162" s="506"/>
      <c r="U162" s="506"/>
      <c r="V162" s="506"/>
      <c r="W162" s="507">
        <f t="shared" si="105"/>
        <v>0</v>
      </c>
      <c r="X162" s="506">
        <f t="shared" si="106"/>
        <v>0</v>
      </c>
    </row>
    <row r="163" spans="1:24" s="508" customFormat="1" ht="17.25" customHeight="1">
      <c r="A163" s="514" t="s">
        <v>261</v>
      </c>
      <c r="B163" s="512"/>
      <c r="C163" s="486">
        <f>C118+C160</f>
        <v>2872072.8</v>
      </c>
      <c r="D163" s="488">
        <f>D118+D160</f>
        <v>2866659.6</v>
      </c>
      <c r="E163" s="488">
        <f t="shared" si="78"/>
        <v>481456.0999999996</v>
      </c>
      <c r="F163" s="488">
        <f t="shared" si="79"/>
        <v>116.79502163423936</v>
      </c>
      <c r="G163" s="488">
        <f aca="true" t="shared" si="109" ref="G163:M163">G118+G160</f>
        <v>3497683.9000000004</v>
      </c>
      <c r="H163" s="488">
        <f t="shared" si="109"/>
        <v>3202919.4999999995</v>
      </c>
      <c r="I163" s="473">
        <f t="shared" si="109"/>
        <v>3202919.4999999995</v>
      </c>
      <c r="J163" s="473">
        <f t="shared" si="109"/>
        <v>3407844.0999999996</v>
      </c>
      <c r="K163" s="473">
        <f t="shared" si="109"/>
        <v>3407844.0999999996</v>
      </c>
      <c r="L163" s="488">
        <f t="shared" si="109"/>
        <v>3348115.6999999997</v>
      </c>
      <c r="M163" s="488" t="e">
        <f t="shared" si="109"/>
        <v>#REF!</v>
      </c>
      <c r="N163" s="488">
        <f t="shared" si="81"/>
        <v>95.72379310777625</v>
      </c>
      <c r="O163" s="486">
        <f t="shared" si="82"/>
        <v>104.53324537191773</v>
      </c>
      <c r="P163" s="488">
        <f t="shared" si="83"/>
        <v>98.24732592667606</v>
      </c>
      <c r="Q163" s="486">
        <f t="shared" si="84"/>
        <v>145196.2000000002</v>
      </c>
      <c r="R163" s="488">
        <f>L163-K163</f>
        <v>-59728.39999999991</v>
      </c>
      <c r="S163" s="505">
        <f>L163-I163-Q163</f>
        <v>0</v>
      </c>
      <c r="T163" s="506">
        <f>L163-K163-R163</f>
        <v>0</v>
      </c>
      <c r="U163" s="506">
        <f>L163/G163*100-N163</f>
        <v>0</v>
      </c>
      <c r="V163" s="506">
        <f>L163/I163*100-O163</f>
        <v>0</v>
      </c>
      <c r="W163" s="507">
        <f t="shared" si="105"/>
        <v>0</v>
      </c>
      <c r="X163" s="506">
        <f t="shared" si="106"/>
        <v>0</v>
      </c>
    </row>
    <row r="164" spans="1:24" s="574" customFormat="1" ht="19.5" customHeight="1">
      <c r="A164" s="616"/>
      <c r="B164" s="617"/>
      <c r="C164" s="500"/>
      <c r="D164" s="500"/>
      <c r="E164" s="500"/>
      <c r="F164" s="618"/>
      <c r="G164" s="500"/>
      <c r="H164" s="500"/>
      <c r="I164" s="526"/>
      <c r="J164" s="499"/>
      <c r="K164" s="526"/>
      <c r="L164" s="500"/>
      <c r="M164" s="500"/>
      <c r="N164" s="500"/>
      <c r="O164" s="500"/>
      <c r="P164" s="500"/>
      <c r="Q164" s="500"/>
      <c r="R164" s="500"/>
      <c r="S164" s="460">
        <f>L164-I164-Q164</f>
        <v>0</v>
      </c>
      <c r="T164" s="461">
        <f>L164-K164-R164</f>
        <v>0</v>
      </c>
      <c r="U164" s="461" t="e">
        <f>L164/G164*100-N164</f>
        <v>#DIV/0!</v>
      </c>
      <c r="V164" s="461" t="e">
        <f>L164/I164*100-O164</f>
        <v>#DIV/0!</v>
      </c>
      <c r="W164" s="462">
        <f t="shared" si="105"/>
        <v>0</v>
      </c>
      <c r="X164" s="461">
        <f t="shared" si="106"/>
        <v>0</v>
      </c>
    </row>
    <row r="165" spans="1:18" ht="18.75">
      <c r="A165" s="864"/>
      <c r="B165" s="864"/>
      <c r="C165" s="864"/>
      <c r="D165" s="864"/>
      <c r="E165" s="864"/>
      <c r="F165" s="864"/>
      <c r="G165" s="864"/>
      <c r="H165" s="864"/>
      <c r="L165" s="488" t="e">
        <f>L163-#REF!-M163</f>
        <v>#REF!</v>
      </c>
      <c r="M165" s="490"/>
      <c r="N165" s="490"/>
      <c r="O165" s="490"/>
      <c r="P165" s="490"/>
      <c r="Q165" s="490"/>
      <c r="R165" s="490"/>
    </row>
    <row r="166" spans="1:18" ht="16.5">
      <c r="A166" s="864"/>
      <c r="B166" s="864"/>
      <c r="C166" s="864"/>
      <c r="D166" s="864"/>
      <c r="E166" s="864"/>
      <c r="F166" s="864"/>
      <c r="G166" s="864"/>
      <c r="H166" s="864"/>
      <c r="M166" s="490"/>
      <c r="N166" s="490"/>
      <c r="O166" s="490"/>
      <c r="P166" s="490"/>
      <c r="Q166" s="490"/>
      <c r="R166" s="490"/>
    </row>
    <row r="167" spans="1:18" ht="16.5">
      <c r="A167" s="864"/>
      <c r="B167" s="864"/>
      <c r="C167" s="864"/>
      <c r="D167" s="864"/>
      <c r="E167" s="864"/>
      <c r="F167" s="864"/>
      <c r="G167" s="864"/>
      <c r="H167" s="864"/>
      <c r="M167" s="490"/>
      <c r="N167" s="490"/>
      <c r="O167" s="490"/>
      <c r="P167" s="490"/>
      <c r="Q167" s="490"/>
      <c r="R167" s="490"/>
    </row>
    <row r="168" spans="1:18" ht="16.5">
      <c r="A168" s="864"/>
      <c r="B168" s="864"/>
      <c r="C168" s="864"/>
      <c r="D168" s="864"/>
      <c r="E168" s="864"/>
      <c r="F168" s="864"/>
      <c r="G168" s="864"/>
      <c r="H168" s="864"/>
      <c r="M168" s="490"/>
      <c r="N168" s="490"/>
      <c r="O168" s="490"/>
      <c r="P168" s="490"/>
      <c r="Q168" s="490"/>
      <c r="R168" s="490"/>
    </row>
    <row r="169" spans="1:18" ht="16.5">
      <c r="A169" s="864"/>
      <c r="B169" s="864"/>
      <c r="C169" s="864"/>
      <c r="D169" s="864"/>
      <c r="E169" s="864"/>
      <c r="F169" s="864"/>
      <c r="G169" s="864"/>
      <c r="H169" s="864"/>
      <c r="M169" s="490"/>
      <c r="N169" s="490"/>
      <c r="O169" s="490"/>
      <c r="P169" s="490"/>
      <c r="Q169" s="490"/>
      <c r="R169" s="490"/>
    </row>
    <row r="170" spans="1:18" ht="16.5">
      <c r="A170" s="864"/>
      <c r="B170" s="864"/>
      <c r="C170" s="864"/>
      <c r="D170" s="864"/>
      <c r="E170" s="864"/>
      <c r="F170" s="864"/>
      <c r="G170" s="864"/>
      <c r="H170" s="864"/>
      <c r="M170" s="490"/>
      <c r="N170" s="490"/>
      <c r="O170" s="490"/>
      <c r="P170" s="490"/>
      <c r="Q170" s="490"/>
      <c r="R170" s="490"/>
    </row>
    <row r="171" spans="1:18" ht="16.5">
      <c r="A171" s="864"/>
      <c r="B171" s="864"/>
      <c r="C171" s="864"/>
      <c r="D171" s="864"/>
      <c r="E171" s="864"/>
      <c r="F171" s="864"/>
      <c r="G171" s="864"/>
      <c r="H171" s="864"/>
      <c r="M171" s="490"/>
      <c r="N171" s="490"/>
      <c r="O171" s="490"/>
      <c r="P171" s="490"/>
      <c r="Q171" s="490"/>
      <c r="R171" s="490"/>
    </row>
    <row r="172" spans="1:18" ht="16.5">
      <c r="A172" s="864"/>
      <c r="B172" s="864"/>
      <c r="C172" s="864"/>
      <c r="D172" s="864"/>
      <c r="E172" s="864"/>
      <c r="F172" s="864"/>
      <c r="G172" s="864"/>
      <c r="H172" s="864"/>
      <c r="M172" s="490"/>
      <c r="N172" s="490"/>
      <c r="O172" s="490"/>
      <c r="P172" s="490"/>
      <c r="Q172" s="490"/>
      <c r="R172" s="490"/>
    </row>
    <row r="173" spans="1:18" ht="16.5">
      <c r="A173" s="864"/>
      <c r="B173" s="864"/>
      <c r="C173" s="864"/>
      <c r="D173" s="864"/>
      <c r="E173" s="864"/>
      <c r="F173" s="864"/>
      <c r="G173" s="864"/>
      <c r="H173" s="864"/>
      <c r="M173" s="490"/>
      <c r="N173" s="490"/>
      <c r="O173" s="490"/>
      <c r="P173" s="490"/>
      <c r="Q173" s="490"/>
      <c r="R173" s="490"/>
    </row>
    <row r="174" spans="1:18" ht="16.5">
      <c r="A174" s="864"/>
      <c r="B174" s="864"/>
      <c r="C174" s="864"/>
      <c r="D174" s="864"/>
      <c r="E174" s="864"/>
      <c r="F174" s="864"/>
      <c r="G174" s="864"/>
      <c r="H174" s="864"/>
      <c r="M174" s="490"/>
      <c r="N174" s="490"/>
      <c r="O174" s="490"/>
      <c r="P174" s="490"/>
      <c r="Q174" s="490"/>
      <c r="R174" s="490"/>
    </row>
    <row r="175" spans="1:18" ht="16.5">
      <c r="A175" s="864"/>
      <c r="B175" s="864"/>
      <c r="C175" s="864"/>
      <c r="D175" s="864"/>
      <c r="E175" s="864"/>
      <c r="F175" s="864"/>
      <c r="G175" s="864"/>
      <c r="H175" s="864"/>
      <c r="M175" s="490"/>
      <c r="N175" s="490"/>
      <c r="O175" s="490"/>
      <c r="P175" s="490"/>
      <c r="Q175" s="490"/>
      <c r="R175" s="490"/>
    </row>
    <row r="176" spans="1:18" ht="16.5">
      <c r="A176" s="864"/>
      <c r="B176" s="864"/>
      <c r="C176" s="864"/>
      <c r="D176" s="864"/>
      <c r="E176" s="864"/>
      <c r="F176" s="864"/>
      <c r="G176" s="864"/>
      <c r="H176" s="864"/>
      <c r="M176" s="490"/>
      <c r="N176" s="490"/>
      <c r="O176" s="490"/>
      <c r="P176" s="490"/>
      <c r="Q176" s="490"/>
      <c r="R176" s="490"/>
    </row>
    <row r="177" spans="1:18" ht="16.5">
      <c r="A177" s="864"/>
      <c r="B177" s="864"/>
      <c r="C177" s="864"/>
      <c r="D177" s="864"/>
      <c r="E177" s="864"/>
      <c r="F177" s="864"/>
      <c r="G177" s="864"/>
      <c r="H177" s="864"/>
      <c r="M177" s="490"/>
      <c r="N177" s="490"/>
      <c r="O177" s="490"/>
      <c r="P177" s="490"/>
      <c r="Q177" s="490"/>
      <c r="R177" s="490"/>
    </row>
    <row r="178" spans="1:18" ht="16.5">
      <c r="A178" s="864"/>
      <c r="B178" s="864"/>
      <c r="C178" s="864"/>
      <c r="D178" s="864"/>
      <c r="E178" s="864"/>
      <c r="F178" s="864"/>
      <c r="G178" s="864"/>
      <c r="H178" s="864"/>
      <c r="M178" s="490"/>
      <c r="N178" s="490"/>
      <c r="O178" s="490"/>
      <c r="P178" s="490"/>
      <c r="Q178" s="490"/>
      <c r="R178" s="490"/>
    </row>
    <row r="179" spans="1:18" ht="16.5">
      <c r="A179" s="864"/>
      <c r="B179" s="864"/>
      <c r="C179" s="864"/>
      <c r="D179" s="864"/>
      <c r="E179" s="864"/>
      <c r="F179" s="864"/>
      <c r="G179" s="864"/>
      <c r="H179" s="864"/>
      <c r="M179" s="490"/>
      <c r="N179" s="490"/>
      <c r="O179" s="490"/>
      <c r="P179" s="490"/>
      <c r="Q179" s="490"/>
      <c r="R179" s="490"/>
    </row>
    <row r="180" spans="1:18" ht="16.5">
      <c r="A180" s="864"/>
      <c r="B180" s="864"/>
      <c r="C180" s="864"/>
      <c r="D180" s="864"/>
      <c r="E180" s="864"/>
      <c r="F180" s="864"/>
      <c r="G180" s="864"/>
      <c r="H180" s="864"/>
      <c r="M180" s="490"/>
      <c r="N180" s="490"/>
      <c r="O180" s="490"/>
      <c r="P180" s="490"/>
      <c r="Q180" s="490"/>
      <c r="R180" s="490"/>
    </row>
    <row r="181" spans="1:18" ht="16.5">
      <c r="A181" s="864"/>
      <c r="B181" s="864"/>
      <c r="C181" s="864"/>
      <c r="D181" s="864"/>
      <c r="E181" s="864"/>
      <c r="F181" s="864"/>
      <c r="G181" s="864"/>
      <c r="H181" s="864"/>
      <c r="M181" s="490"/>
      <c r="N181" s="490"/>
      <c r="O181" s="490"/>
      <c r="P181" s="490"/>
      <c r="Q181" s="490"/>
      <c r="R181" s="490"/>
    </row>
    <row r="182" spans="1:18" ht="16.5">
      <c r="A182" s="864"/>
      <c r="B182" s="864"/>
      <c r="C182" s="864"/>
      <c r="D182" s="864"/>
      <c r="E182" s="864"/>
      <c r="F182" s="864"/>
      <c r="G182" s="864"/>
      <c r="H182" s="864"/>
      <c r="M182" s="490"/>
      <c r="N182" s="490"/>
      <c r="O182" s="490"/>
      <c r="P182" s="490"/>
      <c r="Q182" s="490"/>
      <c r="R182" s="490"/>
    </row>
    <row r="183" spans="1:18" ht="16.5">
      <c r="A183" s="864"/>
      <c r="B183" s="864"/>
      <c r="C183" s="864"/>
      <c r="D183" s="864"/>
      <c r="E183" s="864"/>
      <c r="F183" s="864"/>
      <c r="G183" s="864"/>
      <c r="H183" s="864"/>
      <c r="M183" s="490"/>
      <c r="N183" s="490"/>
      <c r="O183" s="490"/>
      <c r="P183" s="490"/>
      <c r="Q183" s="490"/>
      <c r="R183" s="490"/>
    </row>
    <row r="184" spans="1:18" ht="16.5">
      <c r="A184" s="864"/>
      <c r="B184" s="864"/>
      <c r="C184" s="864"/>
      <c r="D184" s="864"/>
      <c r="E184" s="864"/>
      <c r="F184" s="864"/>
      <c r="G184" s="864"/>
      <c r="H184" s="864"/>
      <c r="M184" s="490"/>
      <c r="N184" s="490"/>
      <c r="O184" s="490"/>
      <c r="P184" s="490"/>
      <c r="Q184" s="490"/>
      <c r="R184" s="490"/>
    </row>
    <row r="185" spans="1:18" ht="16.5">
      <c r="A185" s="864"/>
      <c r="B185" s="864"/>
      <c r="C185" s="864"/>
      <c r="D185" s="864"/>
      <c r="E185" s="864"/>
      <c r="F185" s="864"/>
      <c r="G185" s="864"/>
      <c r="H185" s="864"/>
      <c r="M185" s="490"/>
      <c r="N185" s="490"/>
      <c r="O185" s="490"/>
      <c r="P185" s="490"/>
      <c r="Q185" s="490"/>
      <c r="R185" s="490"/>
    </row>
    <row r="186" spans="1:18" ht="16.5">
      <c r="A186" s="864"/>
      <c r="B186" s="864"/>
      <c r="C186" s="864"/>
      <c r="D186" s="864"/>
      <c r="E186" s="864"/>
      <c r="F186" s="864"/>
      <c r="G186" s="864"/>
      <c r="H186" s="864"/>
      <c r="M186" s="490"/>
      <c r="N186" s="490"/>
      <c r="O186" s="490"/>
      <c r="P186" s="490"/>
      <c r="Q186" s="490"/>
      <c r="R186" s="490"/>
    </row>
    <row r="187" spans="1:18" ht="16.5">
      <c r="A187" s="864"/>
      <c r="B187" s="864"/>
      <c r="C187" s="864"/>
      <c r="D187" s="864"/>
      <c r="E187" s="864"/>
      <c r="F187" s="864"/>
      <c r="G187" s="864"/>
      <c r="H187" s="864"/>
      <c r="M187" s="490"/>
      <c r="N187" s="490"/>
      <c r="O187" s="490"/>
      <c r="P187" s="490"/>
      <c r="Q187" s="490"/>
      <c r="R187" s="490"/>
    </row>
    <row r="188" spans="1:18" ht="16.5">
      <c r="A188" s="864"/>
      <c r="B188" s="864"/>
      <c r="C188" s="864"/>
      <c r="D188" s="864"/>
      <c r="E188" s="864"/>
      <c r="F188" s="864"/>
      <c r="G188" s="864"/>
      <c r="H188" s="864"/>
      <c r="M188" s="490"/>
      <c r="N188" s="490"/>
      <c r="O188" s="490"/>
      <c r="P188" s="490"/>
      <c r="Q188" s="490"/>
      <c r="R188" s="490"/>
    </row>
    <row r="189" spans="1:18" ht="16.5">
      <c r="A189" s="864"/>
      <c r="B189" s="864"/>
      <c r="C189" s="864"/>
      <c r="D189" s="864"/>
      <c r="E189" s="864"/>
      <c r="F189" s="864"/>
      <c r="G189" s="864"/>
      <c r="H189" s="864"/>
      <c r="M189" s="490"/>
      <c r="N189" s="490"/>
      <c r="O189" s="490"/>
      <c r="P189" s="490"/>
      <c r="Q189" s="490"/>
      <c r="R189" s="490"/>
    </row>
    <row r="190" spans="1:18" ht="16.5">
      <c r="A190" s="864"/>
      <c r="B190" s="864"/>
      <c r="C190" s="864"/>
      <c r="D190" s="864"/>
      <c r="E190" s="864"/>
      <c r="F190" s="864"/>
      <c r="G190" s="864"/>
      <c r="H190" s="864"/>
      <c r="M190" s="490"/>
      <c r="N190" s="490"/>
      <c r="O190" s="490"/>
      <c r="P190" s="490"/>
      <c r="Q190" s="490"/>
      <c r="R190" s="490"/>
    </row>
    <row r="191" spans="13:18" ht="18.75">
      <c r="M191" s="490"/>
      <c r="N191" s="490"/>
      <c r="O191" s="490"/>
      <c r="P191" s="490"/>
      <c r="Q191" s="490"/>
      <c r="R191" s="490"/>
    </row>
    <row r="192" spans="13:18" ht="18.75">
      <c r="M192" s="490"/>
      <c r="N192" s="490"/>
      <c r="O192" s="490"/>
      <c r="P192" s="490"/>
      <c r="Q192" s="490"/>
      <c r="R192" s="490"/>
    </row>
    <row r="193" spans="13:18" ht="18.75">
      <c r="M193" s="490"/>
      <c r="N193" s="490"/>
      <c r="O193" s="490"/>
      <c r="P193" s="490"/>
      <c r="Q193" s="490"/>
      <c r="R193" s="490"/>
    </row>
    <row r="194" spans="13:18" ht="18.75">
      <c r="M194" s="490"/>
      <c r="N194" s="490"/>
      <c r="O194" s="490"/>
      <c r="P194" s="490"/>
      <c r="Q194" s="490"/>
      <c r="R194" s="490"/>
    </row>
    <row r="195" spans="13:18" ht="18.75">
      <c r="M195" s="490"/>
      <c r="N195" s="490"/>
      <c r="O195" s="490"/>
      <c r="P195" s="490"/>
      <c r="Q195" s="490"/>
      <c r="R195" s="490"/>
    </row>
    <row r="196" spans="13:18" ht="18.75">
      <c r="M196" s="490"/>
      <c r="N196" s="490"/>
      <c r="O196" s="490"/>
      <c r="P196" s="490"/>
      <c r="Q196" s="490"/>
      <c r="R196" s="490"/>
    </row>
    <row r="197" spans="13:18" ht="18.75">
      <c r="M197" s="490"/>
      <c r="N197" s="490"/>
      <c r="O197" s="490"/>
      <c r="P197" s="490"/>
      <c r="Q197" s="490"/>
      <c r="R197" s="490"/>
    </row>
    <row r="198" spans="13:18" ht="18.75">
      <c r="M198" s="490"/>
      <c r="N198" s="490"/>
      <c r="O198" s="490"/>
      <c r="P198" s="490"/>
      <c r="Q198" s="490"/>
      <c r="R198" s="490"/>
    </row>
    <row r="199" spans="13:18" ht="18.75">
      <c r="M199" s="490"/>
      <c r="N199" s="490"/>
      <c r="O199" s="490"/>
      <c r="P199" s="490"/>
      <c r="Q199" s="490"/>
      <c r="R199" s="490"/>
    </row>
    <row r="200" spans="13:18" ht="18.75">
      <c r="M200" s="490"/>
      <c r="N200" s="490"/>
      <c r="O200" s="490"/>
      <c r="P200" s="490"/>
      <c r="Q200" s="490"/>
      <c r="R200" s="490"/>
    </row>
    <row r="201" spans="13:18" ht="18.75">
      <c r="M201" s="490"/>
      <c r="N201" s="490"/>
      <c r="O201" s="490"/>
      <c r="P201" s="490"/>
      <c r="Q201" s="490"/>
      <c r="R201" s="490"/>
    </row>
    <row r="202" spans="13:18" ht="18.75">
      <c r="M202" s="490"/>
      <c r="N202" s="490"/>
      <c r="O202" s="490"/>
      <c r="P202" s="490"/>
      <c r="Q202" s="490"/>
      <c r="R202" s="490"/>
    </row>
    <row r="203" spans="13:18" ht="18.75">
      <c r="M203" s="490"/>
      <c r="N203" s="490"/>
      <c r="O203" s="490"/>
      <c r="P203" s="490"/>
      <c r="Q203" s="490"/>
      <c r="R203" s="490"/>
    </row>
    <row r="204" spans="13:18" ht="18.75">
      <c r="M204" s="490"/>
      <c r="N204" s="490"/>
      <c r="O204" s="490"/>
      <c r="P204" s="490"/>
      <c r="Q204" s="490"/>
      <c r="R204" s="490"/>
    </row>
    <row r="205" spans="13:18" ht="18.75">
      <c r="M205" s="490"/>
      <c r="N205" s="490"/>
      <c r="O205" s="490"/>
      <c r="P205" s="490"/>
      <c r="Q205" s="490"/>
      <c r="R205" s="490"/>
    </row>
    <row r="206" spans="13:18" ht="18.75">
      <c r="M206" s="490"/>
      <c r="N206" s="490"/>
      <c r="O206" s="490"/>
      <c r="P206" s="490"/>
      <c r="Q206" s="490"/>
      <c r="R206" s="490"/>
    </row>
    <row r="207" spans="13:18" ht="18.75">
      <c r="M207" s="490"/>
      <c r="N207" s="490"/>
      <c r="O207" s="490"/>
      <c r="P207" s="490"/>
      <c r="Q207" s="490"/>
      <c r="R207" s="490"/>
    </row>
    <row r="208" spans="13:18" ht="18.75">
      <c r="M208" s="490"/>
      <c r="N208" s="490"/>
      <c r="O208" s="490"/>
      <c r="P208" s="490"/>
      <c r="Q208" s="490"/>
      <c r="R208" s="490"/>
    </row>
    <row r="209" spans="13:18" ht="18.75">
      <c r="M209" s="490"/>
      <c r="N209" s="490"/>
      <c r="O209" s="490"/>
      <c r="P209" s="490"/>
      <c r="Q209" s="490"/>
      <c r="R209" s="490"/>
    </row>
    <row r="210" spans="13:18" ht="18.75">
      <c r="M210" s="490"/>
      <c r="N210" s="490"/>
      <c r="O210" s="490"/>
      <c r="P210" s="490"/>
      <c r="Q210" s="490"/>
      <c r="R210" s="490"/>
    </row>
    <row r="211" spans="13:18" ht="18.75">
      <c r="M211" s="490"/>
      <c r="N211" s="490"/>
      <c r="O211" s="490"/>
      <c r="P211" s="490"/>
      <c r="Q211" s="490"/>
      <c r="R211" s="490"/>
    </row>
    <row r="212" spans="13:18" ht="18.75">
      <c r="M212" s="490"/>
      <c r="N212" s="490"/>
      <c r="O212" s="490"/>
      <c r="P212" s="490"/>
      <c r="Q212" s="490"/>
      <c r="R212" s="490"/>
    </row>
    <row r="213" spans="13:18" ht="18.75">
      <c r="M213" s="490"/>
      <c r="N213" s="490"/>
      <c r="O213" s="490"/>
      <c r="P213" s="490"/>
      <c r="Q213" s="490"/>
      <c r="R213" s="490"/>
    </row>
    <row r="214" spans="13:18" ht="18.75">
      <c r="M214" s="490"/>
      <c r="N214" s="490"/>
      <c r="O214" s="490"/>
      <c r="P214" s="490"/>
      <c r="Q214" s="490"/>
      <c r="R214" s="490"/>
    </row>
    <row r="215" spans="13:18" ht="18.75">
      <c r="M215" s="490"/>
      <c r="N215" s="490"/>
      <c r="O215" s="490"/>
      <c r="P215" s="490"/>
      <c r="Q215" s="490"/>
      <c r="R215" s="490"/>
    </row>
    <row r="216" spans="13:18" ht="18.75">
      <c r="M216" s="490"/>
      <c r="N216" s="490"/>
      <c r="O216" s="490"/>
      <c r="P216" s="490"/>
      <c r="Q216" s="490"/>
      <c r="R216" s="490"/>
    </row>
    <row r="217" spans="13:18" ht="18.75">
      <c r="M217" s="490"/>
      <c r="N217" s="490"/>
      <c r="O217" s="490"/>
      <c r="P217" s="490"/>
      <c r="Q217" s="490"/>
      <c r="R217" s="490"/>
    </row>
    <row r="218" spans="13:18" ht="18.75">
      <c r="M218" s="490"/>
      <c r="N218" s="490"/>
      <c r="O218" s="490"/>
      <c r="P218" s="490"/>
      <c r="Q218" s="490"/>
      <c r="R218" s="490"/>
    </row>
    <row r="219" spans="13:18" ht="18.75">
      <c r="M219" s="490"/>
      <c r="N219" s="490"/>
      <c r="O219" s="490"/>
      <c r="P219" s="490"/>
      <c r="Q219" s="490"/>
      <c r="R219" s="490"/>
    </row>
    <row r="220" spans="13:18" ht="18.75">
      <c r="M220" s="490"/>
      <c r="N220" s="490"/>
      <c r="O220" s="490"/>
      <c r="P220" s="490"/>
      <c r="Q220" s="490"/>
      <c r="R220" s="490"/>
    </row>
    <row r="221" spans="13:18" ht="18.75">
      <c r="M221" s="490"/>
      <c r="N221" s="490"/>
      <c r="O221" s="490"/>
      <c r="P221" s="490"/>
      <c r="Q221" s="490"/>
      <c r="R221" s="490"/>
    </row>
    <row r="222" spans="13:18" ht="18.75">
      <c r="M222" s="490"/>
      <c r="N222" s="490"/>
      <c r="O222" s="490"/>
      <c r="P222" s="490"/>
      <c r="Q222" s="490"/>
      <c r="R222" s="490"/>
    </row>
    <row r="223" spans="13:18" ht="18.75">
      <c r="M223" s="490"/>
      <c r="N223" s="490"/>
      <c r="O223" s="490"/>
      <c r="P223" s="490"/>
      <c r="Q223" s="490"/>
      <c r="R223" s="490"/>
    </row>
    <row r="224" spans="13:18" ht="18.75">
      <c r="M224" s="490"/>
      <c r="N224" s="490"/>
      <c r="O224" s="490"/>
      <c r="P224" s="490"/>
      <c r="Q224" s="490"/>
      <c r="R224" s="490"/>
    </row>
    <row r="225" spans="13:18" ht="18.75">
      <c r="M225" s="490"/>
      <c r="N225" s="490"/>
      <c r="O225" s="490"/>
      <c r="P225" s="490"/>
      <c r="Q225" s="490"/>
      <c r="R225" s="490"/>
    </row>
    <row r="226" spans="13:18" ht="18.75">
      <c r="M226" s="490"/>
      <c r="N226" s="490"/>
      <c r="O226" s="490"/>
      <c r="P226" s="490"/>
      <c r="Q226" s="490"/>
      <c r="R226" s="490"/>
    </row>
    <row r="227" spans="13:18" ht="18.75">
      <c r="M227" s="490"/>
      <c r="N227" s="490"/>
      <c r="O227" s="490"/>
      <c r="P227" s="490"/>
      <c r="Q227" s="490"/>
      <c r="R227" s="490"/>
    </row>
    <row r="228" spans="13:18" ht="18.75">
      <c r="M228" s="490"/>
      <c r="N228" s="490"/>
      <c r="O228" s="490"/>
      <c r="P228" s="490"/>
      <c r="Q228" s="490"/>
      <c r="R228" s="490"/>
    </row>
    <row r="229" spans="13:18" ht="18.75">
      <c r="M229" s="490"/>
      <c r="N229" s="490"/>
      <c r="O229" s="490"/>
      <c r="P229" s="490"/>
      <c r="Q229" s="490"/>
      <c r="R229" s="490"/>
    </row>
    <row r="230" spans="13:18" ht="18.75">
      <c r="M230" s="490"/>
      <c r="N230" s="490"/>
      <c r="O230" s="490"/>
      <c r="P230" s="490"/>
      <c r="Q230" s="490"/>
      <c r="R230" s="490"/>
    </row>
    <row r="231" spans="13:18" ht="18.75">
      <c r="M231" s="490"/>
      <c r="N231" s="490"/>
      <c r="O231" s="490"/>
      <c r="P231" s="490"/>
      <c r="Q231" s="490"/>
      <c r="R231" s="490"/>
    </row>
    <row r="232" spans="13:18" ht="18.75">
      <c r="M232" s="490"/>
      <c r="N232" s="490"/>
      <c r="O232" s="490"/>
      <c r="P232" s="490"/>
      <c r="Q232" s="490"/>
      <c r="R232" s="490"/>
    </row>
    <row r="233" spans="13:18" ht="18.75">
      <c r="M233" s="490"/>
      <c r="N233" s="490"/>
      <c r="O233" s="490"/>
      <c r="P233" s="490"/>
      <c r="Q233" s="490"/>
      <c r="R233" s="490"/>
    </row>
    <row r="234" spans="13:18" ht="18.75">
      <c r="M234" s="490"/>
      <c r="N234" s="490"/>
      <c r="O234" s="490"/>
      <c r="P234" s="490"/>
      <c r="Q234" s="490"/>
      <c r="R234" s="490"/>
    </row>
    <row r="235" spans="13:18" ht="18.75">
      <c r="M235" s="490"/>
      <c r="N235" s="490"/>
      <c r="O235" s="490"/>
      <c r="P235" s="490"/>
      <c r="Q235" s="490"/>
      <c r="R235" s="490"/>
    </row>
    <row r="236" spans="13:18" ht="18.75">
      <c r="M236" s="490"/>
      <c r="N236" s="490"/>
      <c r="O236" s="490"/>
      <c r="P236" s="490"/>
      <c r="Q236" s="490"/>
      <c r="R236" s="490"/>
    </row>
    <row r="237" spans="13:18" ht="18.75">
      <c r="M237" s="490"/>
      <c r="N237" s="490"/>
      <c r="O237" s="490"/>
      <c r="P237" s="490"/>
      <c r="Q237" s="490"/>
      <c r="R237" s="490"/>
    </row>
    <row r="238" spans="13:18" ht="18.75">
      <c r="M238" s="490"/>
      <c r="N238" s="490"/>
      <c r="O238" s="490"/>
      <c r="P238" s="490"/>
      <c r="Q238" s="490"/>
      <c r="R238" s="490"/>
    </row>
    <row r="239" spans="13:18" ht="18.75">
      <c r="M239" s="490"/>
      <c r="N239" s="490"/>
      <c r="O239" s="490"/>
      <c r="P239" s="490"/>
      <c r="Q239" s="490"/>
      <c r="R239" s="490"/>
    </row>
    <row r="240" spans="13:18" ht="18.75">
      <c r="M240" s="490"/>
      <c r="N240" s="490"/>
      <c r="O240" s="490"/>
      <c r="P240" s="490"/>
      <c r="Q240" s="490"/>
      <c r="R240" s="490"/>
    </row>
    <row r="241" spans="13:18" ht="18.75">
      <c r="M241" s="490"/>
      <c r="N241" s="490"/>
      <c r="O241" s="490"/>
      <c r="P241" s="490"/>
      <c r="Q241" s="490"/>
      <c r="R241" s="490"/>
    </row>
    <row r="242" spans="13:18" ht="18.75">
      <c r="M242" s="490"/>
      <c r="N242" s="490"/>
      <c r="O242" s="490"/>
      <c r="P242" s="490"/>
      <c r="Q242" s="490"/>
      <c r="R242" s="490"/>
    </row>
    <row r="243" spans="13:18" ht="18.75">
      <c r="M243" s="490"/>
      <c r="N243" s="490"/>
      <c r="O243" s="490"/>
      <c r="P243" s="490"/>
      <c r="Q243" s="490"/>
      <c r="R243" s="490"/>
    </row>
    <row r="244" spans="13:18" ht="18.75">
      <c r="M244" s="490"/>
      <c r="N244" s="490"/>
      <c r="O244" s="490"/>
      <c r="P244" s="490"/>
      <c r="Q244" s="490"/>
      <c r="R244" s="490"/>
    </row>
    <row r="245" spans="13:18" ht="18.75">
      <c r="M245" s="490"/>
      <c r="N245" s="490"/>
      <c r="O245" s="490"/>
      <c r="P245" s="490"/>
      <c r="Q245" s="490"/>
      <c r="R245" s="490"/>
    </row>
    <row r="246" spans="13:18" ht="18.75">
      <c r="M246" s="490"/>
      <c r="N246" s="490"/>
      <c r="O246" s="490"/>
      <c r="P246" s="490"/>
      <c r="Q246" s="490"/>
      <c r="R246" s="490"/>
    </row>
    <row r="247" spans="13:18" ht="18.75">
      <c r="M247" s="490"/>
      <c r="N247" s="490"/>
      <c r="O247" s="490"/>
      <c r="P247" s="490"/>
      <c r="Q247" s="490"/>
      <c r="R247" s="490"/>
    </row>
    <row r="248" spans="13:18" ht="18.75">
      <c r="M248" s="490"/>
      <c r="N248" s="490"/>
      <c r="O248" s="490"/>
      <c r="P248" s="490"/>
      <c r="Q248" s="490"/>
      <c r="R248" s="490"/>
    </row>
    <row r="249" spans="13:18" ht="18.75">
      <c r="M249" s="490"/>
      <c r="N249" s="490"/>
      <c r="O249" s="490"/>
      <c r="P249" s="490"/>
      <c r="Q249" s="490"/>
      <c r="R249" s="490"/>
    </row>
    <row r="250" spans="13:18" ht="18.75">
      <c r="M250" s="490"/>
      <c r="N250" s="490"/>
      <c r="O250" s="490"/>
      <c r="P250" s="490"/>
      <c r="Q250" s="490"/>
      <c r="R250" s="490"/>
    </row>
    <row r="251" spans="13:18" ht="18.75">
      <c r="M251" s="490"/>
      <c r="N251" s="490"/>
      <c r="O251" s="490"/>
      <c r="P251" s="490"/>
      <c r="Q251" s="490"/>
      <c r="R251" s="490"/>
    </row>
    <row r="252" spans="13:18" ht="18.75">
      <c r="M252" s="490"/>
      <c r="N252" s="490"/>
      <c r="O252" s="490"/>
      <c r="P252" s="490"/>
      <c r="Q252" s="490"/>
      <c r="R252" s="490"/>
    </row>
    <row r="253" spans="13:18" ht="18.75">
      <c r="M253" s="490"/>
      <c r="N253" s="490"/>
      <c r="O253" s="490"/>
      <c r="P253" s="490"/>
      <c r="Q253" s="490"/>
      <c r="R253" s="490"/>
    </row>
    <row r="254" spans="13:18" ht="18.75">
      <c r="M254" s="490"/>
      <c r="N254" s="490"/>
      <c r="O254" s="490"/>
      <c r="P254" s="490"/>
      <c r="Q254" s="490"/>
      <c r="R254" s="490"/>
    </row>
    <row r="255" spans="13:18" ht="18.75">
      <c r="M255" s="490"/>
      <c r="N255" s="490"/>
      <c r="O255" s="490"/>
      <c r="P255" s="490"/>
      <c r="Q255" s="490"/>
      <c r="R255" s="490"/>
    </row>
    <row r="256" spans="13:18" ht="18.75">
      <c r="M256" s="490"/>
      <c r="N256" s="490"/>
      <c r="O256" s="490"/>
      <c r="P256" s="490"/>
      <c r="Q256" s="490"/>
      <c r="R256" s="490"/>
    </row>
    <row r="257" spans="13:18" ht="18.75">
      <c r="M257" s="490"/>
      <c r="N257" s="490"/>
      <c r="O257" s="490"/>
      <c r="P257" s="490"/>
      <c r="Q257" s="490"/>
      <c r="R257" s="490"/>
    </row>
    <row r="258" spans="13:18" ht="18.75">
      <c r="M258" s="490"/>
      <c r="N258" s="490"/>
      <c r="O258" s="490"/>
      <c r="P258" s="490"/>
      <c r="Q258" s="490"/>
      <c r="R258" s="490"/>
    </row>
    <row r="259" spans="13:18" ht="18.75">
      <c r="M259" s="490"/>
      <c r="N259" s="490"/>
      <c r="O259" s="490"/>
      <c r="P259" s="490"/>
      <c r="Q259" s="490"/>
      <c r="R259" s="490"/>
    </row>
    <row r="260" spans="13:18" ht="18.75">
      <c r="M260" s="490"/>
      <c r="N260" s="490"/>
      <c r="O260" s="490"/>
      <c r="P260" s="490"/>
      <c r="Q260" s="490"/>
      <c r="R260" s="490"/>
    </row>
    <row r="261" spans="13:18" ht="18.75">
      <c r="M261" s="490"/>
      <c r="N261" s="490"/>
      <c r="O261" s="490"/>
      <c r="P261" s="490"/>
      <c r="Q261" s="490"/>
      <c r="R261" s="490"/>
    </row>
    <row r="262" spans="13:18" ht="18.75">
      <c r="M262" s="490"/>
      <c r="N262" s="490"/>
      <c r="O262" s="490"/>
      <c r="P262" s="490"/>
      <c r="Q262" s="490"/>
      <c r="R262" s="490"/>
    </row>
    <row r="263" spans="13:18" ht="18.75">
      <c r="M263" s="490"/>
      <c r="N263" s="490"/>
      <c r="O263" s="490"/>
      <c r="P263" s="490"/>
      <c r="Q263" s="490"/>
      <c r="R263" s="490"/>
    </row>
    <row r="264" spans="13:18" ht="18.75">
      <c r="M264" s="490"/>
      <c r="N264" s="490"/>
      <c r="O264" s="490"/>
      <c r="P264" s="490"/>
      <c r="Q264" s="490"/>
      <c r="R264" s="490"/>
    </row>
    <row r="265" spans="13:18" ht="18.75">
      <c r="M265" s="490"/>
      <c r="N265" s="490"/>
      <c r="O265" s="490"/>
      <c r="P265" s="490"/>
      <c r="Q265" s="490"/>
      <c r="R265" s="490"/>
    </row>
    <row r="266" spans="13:18" ht="18.75">
      <c r="M266" s="490"/>
      <c r="N266" s="490"/>
      <c r="O266" s="490"/>
      <c r="P266" s="490"/>
      <c r="Q266" s="490"/>
      <c r="R266" s="490"/>
    </row>
    <row r="267" spans="13:18" ht="18.75">
      <c r="M267" s="490"/>
      <c r="N267" s="490"/>
      <c r="O267" s="490"/>
      <c r="P267" s="490"/>
      <c r="Q267" s="490"/>
      <c r="R267" s="490"/>
    </row>
    <row r="268" spans="13:18" ht="18.75">
      <c r="M268" s="490"/>
      <c r="N268" s="490"/>
      <c r="O268" s="490"/>
      <c r="P268" s="490"/>
      <c r="Q268" s="490"/>
      <c r="R268" s="490"/>
    </row>
    <row r="269" spans="13:18" ht="18.75">
      <c r="M269" s="490"/>
      <c r="N269" s="490"/>
      <c r="O269" s="490"/>
      <c r="P269" s="490"/>
      <c r="Q269" s="490"/>
      <c r="R269" s="490"/>
    </row>
    <row r="270" spans="13:18" ht="18.75">
      <c r="M270" s="490"/>
      <c r="N270" s="490"/>
      <c r="O270" s="490"/>
      <c r="P270" s="490"/>
      <c r="Q270" s="490"/>
      <c r="R270" s="490"/>
    </row>
    <row r="271" spans="13:18" ht="18.75">
      <c r="M271" s="490"/>
      <c r="N271" s="490"/>
      <c r="O271" s="490"/>
      <c r="P271" s="490"/>
      <c r="Q271" s="490"/>
      <c r="R271" s="490"/>
    </row>
    <row r="272" spans="13:18" ht="18.75">
      <c r="M272" s="490"/>
      <c r="N272" s="490"/>
      <c r="O272" s="490"/>
      <c r="P272" s="490"/>
      <c r="Q272" s="490"/>
      <c r="R272" s="490"/>
    </row>
    <row r="273" spans="13:18" ht="18.75">
      <c r="M273" s="490"/>
      <c r="N273" s="490"/>
      <c r="O273" s="490"/>
      <c r="P273" s="490"/>
      <c r="Q273" s="490"/>
      <c r="R273" s="490"/>
    </row>
    <row r="274" spans="13:18" ht="18.75">
      <c r="M274" s="490"/>
      <c r="N274" s="490"/>
      <c r="O274" s="490"/>
      <c r="P274" s="490"/>
      <c r="Q274" s="490"/>
      <c r="R274" s="490"/>
    </row>
    <row r="275" spans="13:18" ht="18.75">
      <c r="M275" s="490"/>
      <c r="N275" s="490"/>
      <c r="O275" s="490"/>
      <c r="P275" s="490"/>
      <c r="Q275" s="490"/>
      <c r="R275" s="490"/>
    </row>
    <row r="276" spans="13:18" ht="18.75">
      <c r="M276" s="490"/>
      <c r="N276" s="490"/>
      <c r="O276" s="490"/>
      <c r="P276" s="490"/>
      <c r="Q276" s="490"/>
      <c r="R276" s="490"/>
    </row>
    <row r="277" spans="13:18" ht="18.75">
      <c r="M277" s="490"/>
      <c r="N277" s="490"/>
      <c r="O277" s="490"/>
      <c r="P277" s="490"/>
      <c r="Q277" s="490"/>
      <c r="R277" s="490"/>
    </row>
    <row r="278" spans="13:18" ht="18.75">
      <c r="M278" s="490"/>
      <c r="N278" s="490"/>
      <c r="O278" s="490"/>
      <c r="P278" s="490"/>
      <c r="Q278" s="490"/>
      <c r="R278" s="490"/>
    </row>
    <row r="279" spans="13:18" ht="18.75">
      <c r="M279" s="490"/>
      <c r="N279" s="490"/>
      <c r="O279" s="490"/>
      <c r="P279" s="490"/>
      <c r="Q279" s="490"/>
      <c r="R279" s="490"/>
    </row>
    <row r="280" spans="13:18" ht="18.75">
      <c r="M280" s="490"/>
      <c r="N280" s="490"/>
      <c r="O280" s="490"/>
      <c r="P280" s="490"/>
      <c r="Q280" s="490"/>
      <c r="R280" s="490"/>
    </row>
    <row r="281" spans="13:18" ht="18.75">
      <c r="M281" s="490"/>
      <c r="N281" s="490"/>
      <c r="O281" s="490"/>
      <c r="P281" s="490"/>
      <c r="Q281" s="490"/>
      <c r="R281" s="490"/>
    </row>
    <row r="282" spans="13:18" ht="18.75">
      <c r="M282" s="490"/>
      <c r="N282" s="490"/>
      <c r="O282" s="490"/>
      <c r="P282" s="490"/>
      <c r="Q282" s="490"/>
      <c r="R282" s="490"/>
    </row>
  </sheetData>
  <sheetProtection/>
  <mergeCells count="9">
    <mergeCell ref="A7:R7"/>
    <mergeCell ref="A119:R119"/>
    <mergeCell ref="A165:H190"/>
    <mergeCell ref="M1:R1"/>
    <mergeCell ref="A2:R2"/>
    <mergeCell ref="M3:R3"/>
    <mergeCell ref="A4:A5"/>
    <mergeCell ref="B4:F4"/>
    <mergeCell ref="G4:N4"/>
  </mergeCells>
  <printOptions/>
  <pageMargins left="0.2755905511811024" right="0.15748031496062992" top="0.15748031496062992" bottom="0.15748031496062992" header="0.15748031496062992" footer="0.15748031496062992"/>
  <pageSetup fitToHeight="21" fitToWidth="1" horizontalDpi="600" verticalDpi="600" orientation="landscape" paperSize="9" scale="50" r:id="rId1"/>
  <rowBreaks count="3" manualBreakCount="3">
    <brk id="118" max="17" man="1"/>
    <brk id="138" max="17" man="1"/>
    <brk id="157"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OLGA</cp:lastModifiedBy>
  <cp:lastPrinted>2020-02-06T13:01:26Z</cp:lastPrinted>
  <dcterms:created xsi:type="dcterms:W3CDTF">2013-01-15T08:32:22Z</dcterms:created>
  <dcterms:modified xsi:type="dcterms:W3CDTF">2020-02-27T08:09:10Z</dcterms:modified>
  <cp:category/>
  <cp:version/>
  <cp:contentType/>
  <cp:contentStatus/>
</cp:coreProperties>
</file>