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(с)'!$11:$11</definedName>
    <definedName name="_xlnm.Print_Area" localSheetId="0">' дод 1 (с)'!$A$1:$K$203</definedName>
  </definedNames>
  <calcPr fullCalcOnLoad="1"/>
</workbook>
</file>

<file path=xl/sharedStrings.xml><?xml version="1.0" encoding="utf-8"?>
<sst xmlns="http://schemas.openxmlformats.org/spreadsheetml/2006/main" count="240" uniqueCount="230">
  <si>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</si>
  <si>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</si>
  <si>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</si>
  <si>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</si>
  <si>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</si>
  <si>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</si>
  <si>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</si>
  <si>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</si>
  <si>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</si>
  <si>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</si>
  <si>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</si>
  <si>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</si>
  <si>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</si>
  <si>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</si>
  <si>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</si>
  <si>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</si>
  <si>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</si>
  <si>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</si>
  <si>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</si>
  <si>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</si>
  <si>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</si>
  <si>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</si>
  <si>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</si>
  <si>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</si>
  <si>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</si>
  <si>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</si>
  <si>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</si>
  <si>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</si>
  <si>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</si>
  <si>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</si>
  <si>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</si>
  <si>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</si>
  <si>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</si>
  <si>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</si>
  <si>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</si>
  <si>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</si>
  <si>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</si>
  <si>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</si>
  <si>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</si>
  <si>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</si>
  <si>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</si>
  <si>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</si>
  <si>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</si>
  <si>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</si>
  <si>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</si>
  <si>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</si>
  <si>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</si>
  <si>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</si>
  <si>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</si>
  <si>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</si>
  <si>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</si>
  <si>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</si>
  <si>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</si>
  <si>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</si>
  <si>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</si>
  <si>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</si>
  <si>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</si>
  <si>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</si>
  <si>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</si>
  <si>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</si>
  <si>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</si>
  <si>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</si>
  <si>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</si>
  <si>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</si>
  <si>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</si>
  <si>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</si>
  <si>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</si>
  <si>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</si>
  <si>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</si>
  <si>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</si>
  <si>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</si>
  <si>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</si>
  <si>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</si>
  <si>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</si>
  <si>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</si>
  <si>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</si>
  <si>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</si>
  <si>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</si>
  <si>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</si>
  <si>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</si>
  <si>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</si>
  <si>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</si>
  <si>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</si>
  <si>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</si>
  <si>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</si>
  <si>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</si>
  <si>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</si>
  <si>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</si>
  <si>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</si>
  <si>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</si>
  <si>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</si>
  <si>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</si>
  <si>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</si>
  <si>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</si>
  <si>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</si>
  <si>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</si>
  <si>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</si>
  <si>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</si>
  <si>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</si>
  <si>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</si>
  <si>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</si>
  <si>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</si>
  <si>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</si>
  <si>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</si>
  <si>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</si>
  <si>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</si>
  <si>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</si>
  <si>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</si>
  <si>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</si>
  <si>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</si>
  <si>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</si>
  <si>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</si>
  <si>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</si>
  <si>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</si>
  <si>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</si>
  <si>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</si>
  <si>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</si>
  <si>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</si>
  <si>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</si>
  <si>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</si>
  <si>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</si>
  <si>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</si>
  <si>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</si>
  <si>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</si>
  <si>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</si>
  <si>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</si>
  <si>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</si>
  <si>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</si>
  <si>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</si>
  <si>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</si>
  <si>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</si>
  <si>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</si>
  <si>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</si>
  <si>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</si>
  <si>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</si>
  <si>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</si>
  <si>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</si>
  <si>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</si>
  <si>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</si>
  <si>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</si>
  <si>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</si>
  <si>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</si>
  <si>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</si>
  <si>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</si>
  <si>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</si>
  <si>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</si>
  <si>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</si>
  <si>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</si>
  <si>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</si>
  <si>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</si>
  <si>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</si>
  <si>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</si>
  <si>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</si>
  <si>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</si>
  <si>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</si>
  <si>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</si>
  <si>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</si>
  <si>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</si>
  <si>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</si>
  <si>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</si>
  <si>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</si>
  <si>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</si>
  <si>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</si>
  <si>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</si>
  <si>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</si>
  <si>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</si>
  <si>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</si>
  <si>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</si>
  <si>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</si>
  <si>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</si>
  <si>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</si>
  <si>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</si>
  <si>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</si>
  <si>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</si>
  <si>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</si>
  <si>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</si>
  <si>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</si>
  <si>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</si>
  <si>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</si>
  <si>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</si>
  <si>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</si>
  <si>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</si>
  <si>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</si>
  <si>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</si>
  <si>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</si>
  <si>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</si>
  <si>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</si>
  <si>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</si>
  <si>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</si>
  <si>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</si>
  <si>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</si>
  <si>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</si>
  <si>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</si>
  <si>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</si>
  <si>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</si>
  <si>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</si>
  <si>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</si>
  <si>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</si>
  <si>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</si>
  <si>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</si>
  <si>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</si>
  <si>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Інші дотації з місцевого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</si>
  <si>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</si>
  <si>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</si>
  <si>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</si>
  <si>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Фіксований податок на доходи фізичних осіб від зайняття підприємницькою діяльністю, нарахований до 1 січня 2012 року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</si>
  <si>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</si>
  <si>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11010600</t>
  </si>
  <si>
    <t>11010900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</si>
  <si>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</si>
  <si>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</si>
  <si>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18040000</t>
  </si>
  <si>
    <t>18040100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</si>
  <si>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</si>
  <si>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</si>
  <si>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на придбання спеціальних засобів корекції псохофізичного розвитку в інклюзивних класах закладів загальної середньої освіти</t>
  </si>
  <si>
    <t xml:space="preserve">на оплату за проведення (надання) корекційно-розвиткових занять (послуг) в інклюзивних групах закладів дошкільної освіти </t>
  </si>
  <si>
    <t>на придбання спеціальних засобів корекції психофізичного розвитку у спеціальних групах (заклади дошкільної освіти)</t>
  </si>
  <si>
    <t>на придбання спеціальних засобів корекції психофізичного розвитку у спеціальних групах (заклади професійно-технічної освіти)</t>
  </si>
  <si>
    <t>Разом</t>
  </si>
  <si>
    <t xml:space="preserve">     Додаток № 1</t>
  </si>
  <si>
    <t>до    рішення   Сумської    міської    ради</t>
  </si>
  <si>
    <t>«Про   звіт   про    виконання     міського</t>
  </si>
  <si>
    <t>Виконавець: Липова С.А.</t>
  </si>
  <si>
    <t>_____________</t>
  </si>
  <si>
    <t>від  26 лютого  2020  року  № 6404  - МР</t>
  </si>
  <si>
    <t>Секретар Сумської міської ради</t>
  </si>
  <si>
    <t>А.В. Баранов</t>
  </si>
  <si>
    <t>Звіт про виконання дохідної частини міського бюджету за  2019 рік</t>
  </si>
  <si>
    <t>бюджету     м.     Суми     за     2019    рік»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</si>
</sst>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.0000000"/>
    <numFmt numFmtId="221" formatCode="0.000000"/>
    <numFmt numFmtId="222" formatCode="0.00000"/>
    <numFmt numFmtId="223" formatCode="0.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2">
    <xf numFmtId="0" fontId="0" fillId="0" borderId="0" xfId="0" applyAlignment="1">
      <alignment/>
    </xf>
    <xf numFmtId="4" fontId="29" fillId="55" borderId="16" xfId="0" applyNumberFormat="1" applyFont="1" applyFill="1" applyBorder="1" applyAlignment="1">
      <alignment vertical="center" wrapText="1"/>
    </xf>
    <xf numFmtId="0" fontId="28" fillId="55" borderId="16" xfId="0" applyNumberFormat="1" applyFont="1" applyFill="1" applyBorder="1" applyAlignment="1" applyProtection="1">
      <alignment vertical="top" wrapText="1"/>
      <protection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vertical="center" wrapText="1"/>
      <protection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4" fillId="55" borderId="0" xfId="0" applyFont="1" applyFill="1" applyAlignment="1">
      <alignment vertical="center"/>
    </xf>
    <xf numFmtId="0" fontId="34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0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horizontal="lef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33" fillId="55" borderId="0" xfId="0" applyNumberFormat="1" applyFont="1" applyFill="1" applyBorder="1" applyAlignment="1">
      <alignment vertical="center" wrapText="1"/>
    </xf>
    <xf numFmtId="0" fontId="36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19" xfId="0" applyNumberFormat="1" applyFont="1" applyFill="1" applyBorder="1" applyAlignment="1" applyProtection="1">
      <alignment vertical="center" wrapText="1"/>
      <protection/>
    </xf>
    <xf numFmtId="0" fontId="35" fillId="55" borderId="0" xfId="0" applyFont="1" applyFill="1" applyAlignment="1">
      <alignment/>
    </xf>
    <xf numFmtId="0" fontId="35" fillId="55" borderId="0" xfId="0" applyNumberFormat="1" applyFont="1" applyFill="1" applyAlignment="1" applyProtection="1">
      <alignment/>
      <protection/>
    </xf>
    <xf numFmtId="0" fontId="34" fillId="55" borderId="0" xfId="0" applyNumberFormat="1" applyFont="1" applyFill="1" applyAlignment="1" applyProtection="1">
      <alignment horizontal="center"/>
      <protection/>
    </xf>
    <xf numFmtId="0" fontId="28" fillId="55" borderId="20" xfId="0" applyNumberFormat="1" applyFont="1" applyFill="1" applyBorder="1" applyAlignment="1" applyProtection="1">
      <alignment horizontal="center" vertical="center" wrapText="1"/>
      <protection/>
    </xf>
    <xf numFmtId="0" fontId="28" fillId="55" borderId="17" xfId="0" applyNumberFormat="1" applyFont="1" applyFill="1" applyBorder="1" applyAlignment="1" applyProtection="1">
      <alignment horizontal="center" vertical="center" wrapText="1"/>
      <protection/>
    </xf>
    <xf numFmtId="202" fontId="30" fillId="55" borderId="16" xfId="0" applyNumberFormat="1" applyFont="1" applyFill="1" applyBorder="1" applyAlignment="1">
      <alignment vertical="center" wrapText="1"/>
    </xf>
    <xf numFmtId="202" fontId="29" fillId="55" borderId="16" xfId="0" applyNumberFormat="1" applyFont="1" applyFill="1" applyBorder="1" applyAlignment="1">
      <alignment vertical="center" wrapText="1"/>
    </xf>
    <xf numFmtId="202" fontId="27" fillId="55" borderId="16" xfId="0" applyNumberFormat="1" applyFont="1" applyFill="1" applyBorder="1" applyAlignment="1" applyProtection="1">
      <alignment horizontal="right" vertical="center" wrapText="1"/>
      <protection/>
    </xf>
    <xf numFmtId="202" fontId="32" fillId="55" borderId="16" xfId="0" applyNumberFormat="1" applyFont="1" applyFill="1" applyBorder="1" applyAlignment="1">
      <alignment vertical="center" wrapText="1"/>
    </xf>
    <xf numFmtId="202" fontId="30" fillId="55" borderId="17" xfId="0" applyNumberFormat="1" applyFont="1" applyFill="1" applyBorder="1" applyAlignment="1">
      <alignment vertical="center" wrapText="1"/>
    </xf>
    <xf numFmtId="0" fontId="34" fillId="55" borderId="0" xfId="0" applyFont="1" applyFill="1" applyAlignment="1">
      <alignment horizontal="center" vertical="center"/>
    </xf>
    <xf numFmtId="0" fontId="34" fillId="55" borderId="0" xfId="0" applyFont="1" applyFill="1" applyBorder="1" applyAlignment="1">
      <alignment vertical="center"/>
    </xf>
    <xf numFmtId="0" fontId="0" fillId="55" borderId="0" xfId="0" applyFont="1" applyFill="1" applyAlignment="1">
      <alignment vertical="center"/>
    </xf>
    <xf numFmtId="4" fontId="28" fillId="55" borderId="16" xfId="0" applyNumberFormat="1" applyFont="1" applyFill="1" applyBorder="1" applyAlignment="1">
      <alignment vertical="center"/>
    </xf>
    <xf numFmtId="4" fontId="28" fillId="55" borderId="16" xfId="0" applyNumberFormat="1" applyFont="1" applyFill="1" applyBorder="1" applyAlignment="1" applyProtection="1">
      <alignment vertical="center" wrapText="1"/>
      <protection/>
    </xf>
    <xf numFmtId="205" fontId="28" fillId="55" borderId="16" xfId="0" applyNumberFormat="1" applyFont="1" applyFill="1" applyBorder="1" applyAlignment="1" applyProtection="1">
      <alignment vertical="center" wrapText="1"/>
      <protection/>
    </xf>
    <xf numFmtId="0" fontId="37" fillId="56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>
      <alignment vertical="center"/>
    </xf>
    <xf numFmtId="4" fontId="27" fillId="55" borderId="16" xfId="0" applyNumberFormat="1" applyFont="1" applyFill="1" applyBorder="1" applyAlignment="1" applyProtection="1">
      <alignment vertical="center" wrapText="1"/>
      <protection/>
    </xf>
    <xf numFmtId="205" fontId="27" fillId="55" borderId="16" xfId="0" applyNumberFormat="1" applyFont="1" applyFill="1" applyBorder="1" applyAlignment="1" applyProtection="1">
      <alignment vertical="center" wrapText="1"/>
      <protection/>
    </xf>
    <xf numFmtId="0" fontId="19" fillId="55" borderId="0" xfId="0" applyNumberFormat="1" applyFont="1" applyFill="1" applyAlignment="1" applyProtection="1">
      <alignment vertical="center" wrapText="1"/>
      <protection/>
    </xf>
    <xf numFmtId="0" fontId="19" fillId="55" borderId="0" xfId="0" applyFont="1" applyFill="1" applyAlignment="1">
      <alignment vertical="center" wrapText="1"/>
    </xf>
    <xf numFmtId="0" fontId="39" fillId="55" borderId="16" xfId="0" applyNumberFormat="1" applyFont="1" applyFill="1" applyBorder="1" applyAlignment="1" applyProtection="1">
      <alignment horizontal="center" vertical="center" wrapText="1"/>
      <protection/>
    </xf>
    <xf numFmtId="0" fontId="39" fillId="55" borderId="16" xfId="0" applyNumberFormat="1" applyFont="1" applyFill="1" applyBorder="1" applyAlignment="1" applyProtection="1">
      <alignment vertical="center" wrapText="1"/>
      <protection/>
    </xf>
    <xf numFmtId="4" fontId="39" fillId="55" borderId="16" xfId="0" applyNumberFormat="1" applyFont="1" applyFill="1" applyBorder="1" applyAlignment="1">
      <alignment vertical="center"/>
    </xf>
    <xf numFmtId="4" fontId="39" fillId="55" borderId="16" xfId="0" applyNumberFormat="1" applyFont="1" applyFill="1" applyBorder="1" applyAlignment="1" applyProtection="1">
      <alignment vertical="center" wrapText="1"/>
      <protection/>
    </xf>
    <xf numFmtId="205" fontId="39" fillId="55" borderId="16" xfId="0" applyNumberFormat="1" applyFont="1" applyFill="1" applyBorder="1" applyAlignment="1" applyProtection="1">
      <alignment vertical="center" wrapText="1"/>
      <protection/>
    </xf>
    <xf numFmtId="0" fontId="39" fillId="55" borderId="0" xfId="0" applyNumberFormat="1" applyFont="1" applyFill="1" applyAlignment="1" applyProtection="1">
      <alignment wrapText="1"/>
      <protection/>
    </xf>
    <xf numFmtId="0" fontId="39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9" fillId="55" borderId="16" xfId="0" applyNumberFormat="1" applyFont="1" applyFill="1" applyBorder="1" applyAlignment="1" applyProtection="1">
      <alignment horizontal="right" vertical="center" wrapText="1"/>
      <protection/>
    </xf>
    <xf numFmtId="202" fontId="39" fillId="55" borderId="16" xfId="0" applyNumberFormat="1" applyFont="1" applyFill="1" applyBorder="1" applyAlignment="1" applyProtection="1">
      <alignment horizontal="right" vertical="center" wrapText="1"/>
      <protection/>
    </xf>
    <xf numFmtId="49" fontId="39" fillId="55" borderId="16" xfId="0" applyNumberFormat="1" applyFont="1" applyFill="1" applyBorder="1" applyAlignment="1" applyProtection="1">
      <alignment vertical="center" wrapText="1" readingOrder="1"/>
      <protection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18" xfId="0" applyFont="1" applyFill="1" applyBorder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0" fillId="55" borderId="0" xfId="0" applyNumberFormat="1" applyFont="1" applyFill="1" applyAlignment="1" applyProtection="1">
      <alignment wrapText="1"/>
      <protection/>
    </xf>
    <xf numFmtId="0" fontId="20" fillId="55" borderId="0" xfId="0" applyFont="1" applyFill="1" applyAlignment="1">
      <alignment wrapText="1"/>
    </xf>
    <xf numFmtId="49" fontId="39" fillId="55" borderId="16" xfId="0" applyNumberFormat="1" applyFont="1" applyFill="1" applyBorder="1" applyAlignment="1">
      <alignment horizontal="left" vertical="center" wrapText="1"/>
    </xf>
    <xf numFmtId="0" fontId="27" fillId="55" borderId="16" xfId="0" applyFont="1" applyFill="1" applyBorder="1" applyAlignment="1">
      <alignment vertical="center" wrapText="1"/>
    </xf>
    <xf numFmtId="0" fontId="39" fillId="57" borderId="21" xfId="0" applyNumberFormat="1" applyFont="1" applyFill="1" applyBorder="1" applyAlignment="1" applyProtection="1">
      <alignment horizontal="center" vertical="center" wrapText="1"/>
      <protection/>
    </xf>
    <xf numFmtId="0" fontId="39" fillId="57" borderId="19" xfId="0" applyNumberFormat="1" applyFont="1" applyFill="1" applyBorder="1" applyAlignment="1" applyProtection="1">
      <alignment vertical="center" wrapText="1"/>
      <protection/>
    </xf>
    <xf numFmtId="4" fontId="39" fillId="57" borderId="16" xfId="0" applyNumberFormat="1" applyFont="1" applyFill="1" applyBorder="1" applyAlignment="1">
      <alignment vertical="center" wrapText="1"/>
    </xf>
    <xf numFmtId="202" fontId="39" fillId="57" borderId="16" xfId="0" applyNumberFormat="1" applyFont="1" applyFill="1" applyBorder="1" applyAlignment="1">
      <alignment vertical="center" wrapText="1"/>
    </xf>
    <xf numFmtId="4" fontId="39" fillId="57" borderId="16" xfId="0" applyNumberFormat="1" applyFont="1" applyFill="1" applyBorder="1" applyAlignment="1">
      <alignment vertical="center"/>
    </xf>
    <xf numFmtId="4" fontId="39" fillId="57" borderId="16" xfId="0" applyNumberFormat="1" applyFont="1" applyFill="1" applyBorder="1" applyAlignment="1" applyProtection="1">
      <alignment vertical="center" wrapText="1"/>
      <protection/>
    </xf>
    <xf numFmtId="205" fontId="39" fillId="57" borderId="16" xfId="0" applyNumberFormat="1" applyFont="1" applyFill="1" applyBorder="1" applyAlignment="1" applyProtection="1">
      <alignment vertical="center" wrapText="1"/>
      <protection/>
    </xf>
    <xf numFmtId="0" fontId="39" fillId="57" borderId="0" xfId="0" applyNumberFormat="1" applyFont="1" applyFill="1" applyAlignment="1" applyProtection="1">
      <alignment wrapText="1"/>
      <protection/>
    </xf>
    <xf numFmtId="0" fontId="39" fillId="57" borderId="0" xfId="0" applyFont="1" applyFill="1" applyAlignment="1">
      <alignment wrapText="1"/>
    </xf>
    <xf numFmtId="0" fontId="39" fillId="57" borderId="20" xfId="0" applyNumberFormat="1" applyFont="1" applyFill="1" applyBorder="1" applyAlignment="1" applyProtection="1">
      <alignment horizontal="center" vertical="center" wrapText="1"/>
      <protection/>
    </xf>
    <xf numFmtId="0" fontId="39" fillId="57" borderId="17" xfId="0" applyNumberFormat="1" applyFont="1" applyFill="1" applyBorder="1" applyAlignment="1" applyProtection="1">
      <alignment horizontal="center" vertical="center" wrapText="1"/>
      <protection/>
    </xf>
    <xf numFmtId="4" fontId="32" fillId="57" borderId="16" xfId="0" applyNumberFormat="1" applyFont="1" applyFill="1" applyBorder="1" applyAlignment="1">
      <alignment vertical="center" wrapText="1"/>
    </xf>
    <xf numFmtId="202" fontId="32" fillId="57" borderId="16" xfId="0" applyNumberFormat="1" applyFont="1" applyFill="1" applyBorder="1" applyAlignment="1">
      <alignment vertical="center" wrapText="1"/>
    </xf>
    <xf numFmtId="0" fontId="28" fillId="57" borderId="21" xfId="0" applyFont="1" applyFill="1" applyBorder="1" applyAlignment="1">
      <alignment vertical="top" wrapText="1"/>
    </xf>
    <xf numFmtId="0" fontId="28" fillId="57" borderId="19" xfId="0" applyNumberFormat="1" applyFont="1" applyFill="1" applyBorder="1" applyAlignment="1" applyProtection="1">
      <alignment vertical="center" wrapText="1"/>
      <protection/>
    </xf>
    <xf numFmtId="4" fontId="29" fillId="57" borderId="16" xfId="0" applyNumberFormat="1" applyFont="1" applyFill="1" applyBorder="1" applyAlignment="1">
      <alignment vertical="center" wrapText="1"/>
    </xf>
    <xf numFmtId="202" fontId="29" fillId="57" borderId="16" xfId="0" applyNumberFormat="1" applyFont="1" applyFill="1" applyBorder="1" applyAlignment="1">
      <alignment vertical="center" wrapText="1"/>
    </xf>
    <xf numFmtId="4" fontId="28" fillId="57" borderId="16" xfId="0" applyNumberFormat="1" applyFont="1" applyFill="1" applyBorder="1" applyAlignment="1">
      <alignment vertical="center"/>
    </xf>
    <xf numFmtId="4" fontId="28" fillId="57" borderId="16" xfId="0" applyNumberFormat="1" applyFont="1" applyFill="1" applyBorder="1" applyAlignment="1" applyProtection="1">
      <alignment vertical="center" wrapText="1"/>
      <protection/>
    </xf>
    <xf numFmtId="205" fontId="28" fillId="57" borderId="16" xfId="0" applyNumberFormat="1" applyFont="1" applyFill="1" applyBorder="1" applyAlignment="1" applyProtection="1">
      <alignment vertical="center" wrapText="1"/>
      <protection/>
    </xf>
    <xf numFmtId="0" fontId="28" fillId="57" borderId="0" xfId="0" applyNumberFormat="1" applyFont="1" applyFill="1" applyAlignment="1" applyProtection="1">
      <alignment wrapText="1"/>
      <protection/>
    </xf>
    <xf numFmtId="0" fontId="28" fillId="57" borderId="0" xfId="0" applyFont="1" applyFill="1" applyAlignment="1">
      <alignment wrapText="1"/>
    </xf>
    <xf numFmtId="0" fontId="39" fillId="57" borderId="20" xfId="0" applyFont="1" applyFill="1" applyBorder="1" applyAlignment="1">
      <alignment vertical="top" wrapText="1"/>
    </xf>
    <xf numFmtId="0" fontId="39" fillId="57" borderId="17" xfId="0" applyFont="1" applyFill="1" applyBorder="1" applyAlignment="1">
      <alignment vertical="top" wrapText="1"/>
    </xf>
    <xf numFmtId="0" fontId="39" fillId="57" borderId="22" xfId="0" applyNumberFormat="1" applyFont="1" applyFill="1" applyBorder="1" applyAlignment="1" applyProtection="1">
      <alignment vertical="center" wrapText="1"/>
      <protection/>
    </xf>
    <xf numFmtId="4" fontId="32" fillId="57" borderId="17" xfId="0" applyNumberFormat="1" applyFont="1" applyFill="1" applyBorder="1" applyAlignment="1">
      <alignment vertical="center" wrapText="1"/>
    </xf>
    <xf numFmtId="202" fontId="32" fillId="57" borderId="17" xfId="0" applyNumberFormat="1" applyFont="1" applyFill="1" applyBorder="1" applyAlignment="1">
      <alignment vertical="center" wrapText="1"/>
    </xf>
    <xf numFmtId="14" fontId="37" fillId="55" borderId="0" xfId="0" applyNumberFormat="1" applyFont="1" applyFill="1" applyBorder="1" applyAlignment="1">
      <alignment horizontal="left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 horizontal="center"/>
      <protection/>
    </xf>
    <xf numFmtId="0" fontId="34" fillId="55" borderId="23" xfId="0" applyNumberFormat="1" applyFont="1" applyFill="1" applyBorder="1" applyAlignment="1" applyProtection="1">
      <alignment vertical="center" textRotation="180" wrapText="1"/>
      <protection/>
    </xf>
    <xf numFmtId="0" fontId="34" fillId="55" borderId="0" xfId="0" applyNumberFormat="1" applyFont="1" applyFill="1" applyAlignment="1" applyProtection="1">
      <alignment vertical="center" textRotation="180" wrapText="1"/>
      <protection/>
    </xf>
    <xf numFmtId="0" fontId="34" fillId="55" borderId="0" xfId="0" applyNumberFormat="1" applyFont="1" applyFill="1" applyAlignment="1" applyProtection="1">
      <alignment vertical="center" textRotation="180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0" fillId="56" borderId="0" xfId="0" applyNumberFormat="1" applyFont="1" applyFill="1" applyAlignment="1" applyProtection="1">
      <alignment horizontal="left"/>
      <protection/>
    </xf>
    <xf numFmtId="0" fontId="41" fillId="56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39" fillId="57" borderId="21" xfId="0" applyNumberFormat="1" applyFont="1" applyFill="1" applyBorder="1" applyAlignment="1" applyProtection="1">
      <alignment horizontal="center" vertical="center" wrapText="1"/>
      <protection/>
    </xf>
    <xf numFmtId="0" fontId="39" fillId="57" borderId="20" xfId="0" applyFont="1" applyFill="1" applyBorder="1" applyAlignment="1">
      <alignment horizontal="center" vertical="center" wrapText="1"/>
    </xf>
    <xf numFmtId="0" fontId="39" fillId="57" borderId="17" xfId="0" applyFont="1" applyFill="1" applyBorder="1" applyAlignment="1">
      <alignment horizontal="center" vertical="center" wrapText="1"/>
    </xf>
    <xf numFmtId="0" fontId="34" fillId="55" borderId="23" xfId="0" applyNumberFormat="1" applyFont="1" applyFill="1" applyBorder="1" applyAlignment="1" applyProtection="1">
      <alignment horizontal="center" vertical="center" textRotation="180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7" borderId="21" xfId="0" applyNumberFormat="1" applyFont="1" applyFill="1" applyBorder="1" applyAlignment="1" applyProtection="1">
      <alignment horizontal="center" vertical="center" wrapText="1"/>
      <protection/>
    </xf>
    <xf numFmtId="0" fontId="28" fillId="57" borderId="20" xfId="0" applyFont="1" applyFill="1" applyBorder="1" applyAlignment="1">
      <alignment wrapText="1"/>
    </xf>
    <xf numFmtId="0" fontId="28" fillId="57" borderId="17" xfId="0" applyFont="1" applyFill="1" applyBorder="1" applyAlignment="1">
      <alignment wrapText="1"/>
    </xf>
    <xf numFmtId="0" fontId="34" fillId="55" borderId="0" xfId="0" applyNumberFormat="1" applyFont="1" applyFill="1" applyAlignment="1" applyProtection="1">
      <alignment horizontal="center" textRotation="180" wrapText="1"/>
      <protection/>
    </xf>
    <xf numFmtId="0" fontId="34" fillId="55" borderId="0" xfId="0" applyNumberFormat="1" applyFont="1" applyFill="1" applyAlignment="1" applyProtection="1">
      <alignment horizontal="center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 wrapText="1"/>
      <protection/>
    </xf>
    <xf numFmtId="0" fontId="27" fillId="55" borderId="26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NumberFormat="1" applyFont="1" applyFill="1" applyAlignment="1" applyProtection="1">
      <alignment horizontal="center" vertical="center"/>
      <protection/>
    </xf>
    <xf numFmtId="0" fontId="34" fillId="55" borderId="0" xfId="0" applyNumberFormat="1" applyFont="1" applyFill="1" applyAlignment="1" applyProtection="1">
      <alignment horizontal="center" vertical="center" textRotation="180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228"/>
  <sheetViews>
    <sheetView showGridLines="0" showZeros="0" tabSelected="1" view="pageBreakPreview" zoomScale="59" zoomScaleNormal="70" zoomScaleSheetLayoutView="59" workbookViewId="0" topLeftCell="A1">
      <selection activeCell="U11" sqref="U11"/>
    </sheetView>
  </sheetViews>
  <sheetFormatPr defaultColWidth="9.16015625" defaultRowHeight="12.75"/>
  <cols>
    <col min="1" max="1" width="13.5" style="6" customWidth="1"/>
    <col min="2" max="2" width="58.66015625" style="7" customWidth="1"/>
    <col min="3" max="6" width="22.83203125" style="7" customWidth="1"/>
    <col min="7" max="7" width="19" style="7" customWidth="1"/>
    <col min="8" max="8" width="17.66015625" style="7" customWidth="1"/>
    <col min="9" max="9" width="23.33203125" style="52" bestFit="1" customWidth="1"/>
    <col min="10" max="10" width="22.33203125" style="7" customWidth="1"/>
    <col min="11" max="11" width="21" style="7" customWidth="1"/>
    <col min="12" max="12" width="9.16015625" style="120" customWidth="1"/>
    <col min="13" max="14" width="9.16015625" style="7" customWidth="1"/>
    <col min="15" max="246" width="9.16015625" style="10" customWidth="1"/>
    <col min="247" max="255" width="9.16015625" style="7" customWidth="1"/>
    <col min="256" max="16384" width="9.16015625" style="10" customWidth="1"/>
  </cols>
  <sheetData>
    <row r="1" spans="3:12" ht="23.25" customHeight="1">
      <c r="C1" s="136"/>
      <c r="D1" s="136"/>
      <c r="E1" s="136"/>
      <c r="F1" s="136"/>
      <c r="G1" s="44"/>
      <c r="I1" s="122" t="s">
        <v>220</v>
      </c>
      <c r="J1" s="123"/>
      <c r="L1" s="141"/>
    </row>
    <row r="2" spans="3:12" ht="26.25">
      <c r="C2" s="8"/>
      <c r="D2" s="8"/>
      <c r="E2" s="8"/>
      <c r="F2" s="9"/>
      <c r="G2" s="9"/>
      <c r="H2" s="124" t="s">
        <v>221</v>
      </c>
      <c r="I2" s="125"/>
      <c r="J2" s="126"/>
      <c r="K2" s="58"/>
      <c r="L2" s="141"/>
    </row>
    <row r="3" spans="3:12" ht="26.25">
      <c r="C3" s="8"/>
      <c r="D3" s="8"/>
      <c r="E3" s="8"/>
      <c r="F3" s="9"/>
      <c r="G3" s="9"/>
      <c r="H3" s="124" t="s">
        <v>222</v>
      </c>
      <c r="I3" s="125"/>
      <c r="J3" s="126"/>
      <c r="K3" s="59"/>
      <c r="L3" s="141"/>
    </row>
    <row r="4" spans="3:12" ht="26.25">
      <c r="C4" s="8"/>
      <c r="D4" s="8"/>
      <c r="E4" s="8"/>
      <c r="F4" s="9"/>
      <c r="G4" s="9"/>
      <c r="H4" s="124" t="s">
        <v>229</v>
      </c>
      <c r="I4" s="125"/>
      <c r="J4" s="126"/>
      <c r="K4" s="59"/>
      <c r="L4" s="141"/>
    </row>
    <row r="5" spans="3:12" ht="18.75" customHeight="1">
      <c r="C5" s="8"/>
      <c r="D5" s="8"/>
      <c r="E5" s="8"/>
      <c r="F5" s="9"/>
      <c r="G5" s="9"/>
      <c r="H5" s="124" t="s">
        <v>225</v>
      </c>
      <c r="I5" s="125"/>
      <c r="J5" s="126"/>
      <c r="L5" s="141"/>
    </row>
    <row r="6" spans="3:12" ht="18.75" customHeight="1">
      <c r="C6" s="8"/>
      <c r="D6" s="8"/>
      <c r="E6" s="8"/>
      <c r="F6" s="9"/>
      <c r="G6" s="9"/>
      <c r="H6" s="124"/>
      <c r="I6" s="125"/>
      <c r="J6" s="126"/>
      <c r="L6" s="141"/>
    </row>
    <row r="7" spans="1:12" ht="25.5">
      <c r="A7" s="140" t="s">
        <v>228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2:12" ht="18.75">
      <c r="B8" s="16"/>
      <c r="C8" s="16"/>
      <c r="D8" s="16"/>
      <c r="E8" s="16"/>
      <c r="F8" s="16"/>
      <c r="G8" s="16"/>
      <c r="H8" s="17"/>
      <c r="K8" s="17" t="s">
        <v>22</v>
      </c>
      <c r="L8" s="141"/>
    </row>
    <row r="9" spans="1:12" ht="21.75" customHeight="1">
      <c r="A9" s="131" t="s">
        <v>0</v>
      </c>
      <c r="B9" s="131" t="s">
        <v>165</v>
      </c>
      <c r="C9" s="137" t="s">
        <v>14</v>
      </c>
      <c r="D9" s="138"/>
      <c r="E9" s="139"/>
      <c r="F9" s="131" t="s">
        <v>15</v>
      </c>
      <c r="G9" s="131"/>
      <c r="H9" s="131"/>
      <c r="I9" s="131" t="s">
        <v>219</v>
      </c>
      <c r="J9" s="131"/>
      <c r="K9" s="131"/>
      <c r="L9" s="141"/>
    </row>
    <row r="10" spans="1:12" ht="49.5" customHeight="1">
      <c r="A10" s="131"/>
      <c r="B10" s="131"/>
      <c r="C10" s="18" t="s">
        <v>202</v>
      </c>
      <c r="D10" s="18" t="s">
        <v>203</v>
      </c>
      <c r="E10" s="18" t="s">
        <v>204</v>
      </c>
      <c r="F10" s="18" t="s">
        <v>202</v>
      </c>
      <c r="G10" s="18" t="s">
        <v>203</v>
      </c>
      <c r="H10" s="18" t="s">
        <v>204</v>
      </c>
      <c r="I10" s="18" t="s">
        <v>202</v>
      </c>
      <c r="J10" s="18" t="s">
        <v>203</v>
      </c>
      <c r="K10" s="46" t="s">
        <v>204</v>
      </c>
      <c r="L10" s="141"/>
    </row>
    <row r="11" spans="1:255" s="14" customFormat="1" ht="17.25" customHeigh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141"/>
      <c r="M11" s="13"/>
      <c r="N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s="65" customFormat="1" ht="14.25">
      <c r="A12" s="40">
        <v>10000000</v>
      </c>
      <c r="B12" s="60" t="s">
        <v>2</v>
      </c>
      <c r="C12" s="11">
        <f>C13+C24++C31+C37+C58</f>
        <v>1807448198</v>
      </c>
      <c r="D12" s="11">
        <f>D13+D24++D31+D37+D58</f>
        <v>1714148688.73</v>
      </c>
      <c r="E12" s="51">
        <f>_xlfn.IFERROR(D12/C12*100,0)</f>
        <v>94.83805348483907</v>
      </c>
      <c r="F12" s="11">
        <f>F13+F24++F31+F37+F58</f>
        <v>4380900</v>
      </c>
      <c r="G12" s="11">
        <f>G13+G24++G31+G37+G58</f>
        <v>4170845.13</v>
      </c>
      <c r="H12" s="51">
        <f>_xlfn.IFERROR(G12/F12*100,0)</f>
        <v>95.20521194275149</v>
      </c>
      <c r="I12" s="61">
        <f aca="true" t="shared" si="0" ref="I12:J14">C12+F12</f>
        <v>1811829098</v>
      </c>
      <c r="J12" s="62">
        <f t="shared" si="0"/>
        <v>1718319533.8600001</v>
      </c>
      <c r="K12" s="63">
        <f>_xlfn.IFERROR(J12/I12*100,0)</f>
        <v>94.8389412531667</v>
      </c>
      <c r="L12" s="141"/>
      <c r="M12" s="64"/>
      <c r="N12" s="64"/>
      <c r="IM12" s="64"/>
      <c r="IN12" s="64"/>
      <c r="IO12" s="64"/>
      <c r="IP12" s="64"/>
      <c r="IQ12" s="64"/>
      <c r="IR12" s="64"/>
      <c r="IS12" s="64"/>
      <c r="IT12" s="64"/>
      <c r="IU12" s="64"/>
    </row>
    <row r="13" spans="1:255" s="28" customFormat="1" ht="28.5">
      <c r="A13" s="25">
        <v>11000000</v>
      </c>
      <c r="B13" s="26" t="s">
        <v>3</v>
      </c>
      <c r="C13" s="15">
        <f>C14+C21</f>
        <v>1249907694</v>
      </c>
      <c r="D13" s="15">
        <f>D14+D21</f>
        <v>1152468413.9099998</v>
      </c>
      <c r="E13" s="47">
        <f aca="true" t="shared" si="1" ref="E13:E76">_xlfn.IFERROR(D13/C13*100,0)</f>
        <v>92.20428191955749</v>
      </c>
      <c r="F13" s="15"/>
      <c r="G13" s="15"/>
      <c r="H13" s="47">
        <f aca="true" t="shared" si="2" ref="H13:H76">_xlfn.IFERROR(G13/F13*100,0)</f>
        <v>0</v>
      </c>
      <c r="I13" s="61">
        <f t="shared" si="0"/>
        <v>1249907694</v>
      </c>
      <c r="J13" s="62">
        <f t="shared" si="0"/>
        <v>1152468413.9099998</v>
      </c>
      <c r="K13" s="63">
        <f>_xlfn.IFERROR(J13/I13*100,0)</f>
        <v>92.20428191955749</v>
      </c>
      <c r="L13" s="141"/>
      <c r="M13" s="27"/>
      <c r="N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s="28" customFormat="1" ht="14.25">
      <c r="A14" s="25">
        <v>11010000</v>
      </c>
      <c r="B14" s="26" t="s">
        <v>110</v>
      </c>
      <c r="C14" s="12">
        <f>C15+C16+C17+C18+C19+C20</f>
        <v>1249465994</v>
      </c>
      <c r="D14" s="12">
        <f>D15+D16+D17+D18+D19+D20</f>
        <v>1152170766.9499998</v>
      </c>
      <c r="E14" s="49">
        <f t="shared" si="1"/>
        <v>92.21305521581084</v>
      </c>
      <c r="F14" s="15"/>
      <c r="G14" s="15"/>
      <c r="H14" s="47">
        <f t="shared" si="2"/>
        <v>0</v>
      </c>
      <c r="I14" s="61">
        <f t="shared" si="0"/>
        <v>1249465994</v>
      </c>
      <c r="J14" s="62">
        <f t="shared" si="0"/>
        <v>1152170766.9499998</v>
      </c>
      <c r="K14" s="63">
        <f>_xlfn.IFERROR(J14/I14*100,0)</f>
        <v>92.21305521581084</v>
      </c>
      <c r="L14" s="141"/>
      <c r="M14" s="27"/>
      <c r="N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s="72" customFormat="1" ht="45">
      <c r="A15" s="66">
        <v>11010100</v>
      </c>
      <c r="B15" s="67" t="s">
        <v>18</v>
      </c>
      <c r="C15" s="24">
        <f>1117190900-3419076</f>
        <v>1113771824</v>
      </c>
      <c r="D15" s="24">
        <v>1015693009.48</v>
      </c>
      <c r="E15" s="50">
        <f t="shared" si="1"/>
        <v>91.19399392168499</v>
      </c>
      <c r="F15" s="24"/>
      <c r="G15" s="24"/>
      <c r="H15" s="50">
        <f t="shared" si="2"/>
        <v>0</v>
      </c>
      <c r="I15" s="68">
        <f aca="true" t="shared" si="3" ref="I15:I78">C15+F15</f>
        <v>1113771824</v>
      </c>
      <c r="J15" s="69">
        <f aca="true" t="shared" si="4" ref="J15:J78">D15+G15</f>
        <v>1015693009.48</v>
      </c>
      <c r="K15" s="70">
        <f aca="true" t="shared" si="5" ref="K15:K78">_xlfn.IFERROR(J15/I15*100,0)</f>
        <v>91.19399392168499</v>
      </c>
      <c r="L15" s="141"/>
      <c r="M15" s="71"/>
      <c r="N15" s="71"/>
      <c r="IM15" s="71"/>
      <c r="IN15" s="71"/>
      <c r="IO15" s="71"/>
      <c r="IP15" s="71"/>
      <c r="IQ15" s="71"/>
      <c r="IR15" s="71"/>
      <c r="IS15" s="71"/>
      <c r="IT15" s="71"/>
      <c r="IU15" s="71"/>
    </row>
    <row r="16" spans="1:255" s="72" customFormat="1" ht="75">
      <c r="A16" s="66">
        <v>11010200</v>
      </c>
      <c r="B16" s="67" t="s">
        <v>19</v>
      </c>
      <c r="C16" s="24">
        <f>81032000-8218200</f>
        <v>72813800</v>
      </c>
      <c r="D16" s="24">
        <v>73489128.73</v>
      </c>
      <c r="E16" s="50">
        <f t="shared" si="1"/>
        <v>100.9274735421033</v>
      </c>
      <c r="F16" s="24"/>
      <c r="G16" s="24"/>
      <c r="H16" s="50">
        <f t="shared" si="2"/>
        <v>0</v>
      </c>
      <c r="I16" s="68">
        <f t="shared" si="3"/>
        <v>72813800</v>
      </c>
      <c r="J16" s="69">
        <f t="shared" si="4"/>
        <v>73489128.73</v>
      </c>
      <c r="K16" s="70">
        <f t="shared" si="5"/>
        <v>100.9274735421033</v>
      </c>
      <c r="L16" s="141"/>
      <c r="M16" s="71"/>
      <c r="N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5" s="72" customFormat="1" ht="45">
      <c r="A17" s="66">
        <v>11010400</v>
      </c>
      <c r="B17" s="67" t="s">
        <v>20</v>
      </c>
      <c r="C17" s="24">
        <f>29795400+10686270</f>
        <v>40481670</v>
      </c>
      <c r="D17" s="24">
        <v>40444690.31</v>
      </c>
      <c r="E17" s="50">
        <f t="shared" si="1"/>
        <v>99.90865077947625</v>
      </c>
      <c r="F17" s="24"/>
      <c r="G17" s="24"/>
      <c r="H17" s="50">
        <f t="shared" si="2"/>
        <v>0</v>
      </c>
      <c r="I17" s="68">
        <f t="shared" si="3"/>
        <v>40481670</v>
      </c>
      <c r="J17" s="69">
        <f t="shared" si="4"/>
        <v>40444690.31</v>
      </c>
      <c r="K17" s="70">
        <f t="shared" si="5"/>
        <v>99.90865077947625</v>
      </c>
      <c r="L17" s="141"/>
      <c r="M17" s="71"/>
      <c r="N17" s="71"/>
      <c r="IM17" s="71"/>
      <c r="IN17" s="71"/>
      <c r="IO17" s="71"/>
      <c r="IP17" s="71"/>
      <c r="IQ17" s="71"/>
      <c r="IR17" s="71"/>
      <c r="IS17" s="71"/>
      <c r="IT17" s="71"/>
      <c r="IU17" s="71"/>
    </row>
    <row r="18" spans="1:255" s="72" customFormat="1" ht="45">
      <c r="A18" s="66">
        <v>11010500</v>
      </c>
      <c r="B18" s="67" t="s">
        <v>21</v>
      </c>
      <c r="C18" s="24">
        <f>27240300-4841600</f>
        <v>22398700</v>
      </c>
      <c r="D18" s="24">
        <v>22542821.83</v>
      </c>
      <c r="E18" s="50">
        <f t="shared" si="1"/>
        <v>100.64343836919105</v>
      </c>
      <c r="F18" s="24"/>
      <c r="G18" s="24"/>
      <c r="H18" s="50">
        <f t="shared" si="2"/>
        <v>0</v>
      </c>
      <c r="I18" s="68">
        <f t="shared" si="3"/>
        <v>22398700</v>
      </c>
      <c r="J18" s="69">
        <f t="shared" si="4"/>
        <v>22542821.83</v>
      </c>
      <c r="K18" s="70">
        <f t="shared" si="5"/>
        <v>100.64343836919105</v>
      </c>
      <c r="L18" s="141"/>
      <c r="M18" s="71"/>
      <c r="N18" s="71"/>
      <c r="IM18" s="71"/>
      <c r="IN18" s="71"/>
      <c r="IO18" s="71"/>
      <c r="IP18" s="71"/>
      <c r="IQ18" s="71"/>
      <c r="IR18" s="71"/>
      <c r="IS18" s="71"/>
      <c r="IT18" s="71"/>
      <c r="IU18" s="71"/>
    </row>
    <row r="19" spans="1:255" s="72" customFormat="1" ht="45">
      <c r="A19" s="66" t="s">
        <v>207</v>
      </c>
      <c r="B19" s="67" t="s">
        <v>205</v>
      </c>
      <c r="C19" s="24"/>
      <c r="D19" s="24">
        <v>15</v>
      </c>
      <c r="E19" s="50">
        <f t="shared" si="1"/>
        <v>0</v>
      </c>
      <c r="F19" s="24"/>
      <c r="G19" s="24"/>
      <c r="H19" s="50">
        <f t="shared" si="2"/>
        <v>0</v>
      </c>
      <c r="I19" s="68">
        <f t="shared" si="3"/>
        <v>0</v>
      </c>
      <c r="J19" s="69">
        <f t="shared" si="4"/>
        <v>15</v>
      </c>
      <c r="K19" s="70">
        <f t="shared" si="5"/>
        <v>0</v>
      </c>
      <c r="L19" s="141"/>
      <c r="M19" s="71"/>
      <c r="N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s="72" customFormat="1" ht="75">
      <c r="A20" s="66" t="s">
        <v>208</v>
      </c>
      <c r="B20" s="67" t="s">
        <v>206</v>
      </c>
      <c r="C20" s="24"/>
      <c r="D20" s="24">
        <v>1101.6</v>
      </c>
      <c r="E20" s="50">
        <f t="shared" si="1"/>
        <v>0</v>
      </c>
      <c r="F20" s="24"/>
      <c r="G20" s="24"/>
      <c r="H20" s="50">
        <f t="shared" si="2"/>
        <v>0</v>
      </c>
      <c r="I20" s="68">
        <f t="shared" si="3"/>
        <v>0</v>
      </c>
      <c r="J20" s="69">
        <f t="shared" si="4"/>
        <v>1101.6</v>
      </c>
      <c r="K20" s="70">
        <f t="shared" si="5"/>
        <v>0</v>
      </c>
      <c r="L20" s="141"/>
      <c r="M20" s="71"/>
      <c r="N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12" s="27" customFormat="1" ht="14.25">
      <c r="A21" s="25">
        <v>11020000</v>
      </c>
      <c r="B21" s="26" t="s">
        <v>4</v>
      </c>
      <c r="C21" s="12">
        <f>C22+C23</f>
        <v>441700</v>
      </c>
      <c r="D21" s="12">
        <f>D22+D23</f>
        <v>297646.96</v>
      </c>
      <c r="E21" s="49">
        <f t="shared" si="1"/>
        <v>67.38667874122709</v>
      </c>
      <c r="F21" s="12"/>
      <c r="G21" s="12"/>
      <c r="H21" s="49">
        <f t="shared" si="2"/>
        <v>0</v>
      </c>
      <c r="I21" s="61">
        <f t="shared" si="3"/>
        <v>441700</v>
      </c>
      <c r="J21" s="62">
        <f t="shared" si="4"/>
        <v>297646.96</v>
      </c>
      <c r="K21" s="63">
        <f t="shared" si="5"/>
        <v>67.38667874122709</v>
      </c>
      <c r="L21" s="141"/>
    </row>
    <row r="22" spans="1:255" s="72" customFormat="1" ht="30">
      <c r="A22" s="66">
        <v>11020200</v>
      </c>
      <c r="B22" s="67" t="s">
        <v>23</v>
      </c>
      <c r="C22" s="24">
        <v>441700</v>
      </c>
      <c r="D22" s="24">
        <v>297646.96</v>
      </c>
      <c r="E22" s="50">
        <f t="shared" si="1"/>
        <v>67.38667874122709</v>
      </c>
      <c r="F22" s="24"/>
      <c r="G22" s="24"/>
      <c r="H22" s="50">
        <f t="shared" si="2"/>
        <v>0</v>
      </c>
      <c r="I22" s="68">
        <f t="shared" si="3"/>
        <v>441700</v>
      </c>
      <c r="J22" s="69">
        <f t="shared" si="4"/>
        <v>297646.96</v>
      </c>
      <c r="K22" s="70">
        <f t="shared" si="5"/>
        <v>67.38667874122709</v>
      </c>
      <c r="L22" s="141"/>
      <c r="M22" s="71"/>
      <c r="N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1:255" s="4" customFormat="1" ht="30" customHeight="1" hidden="1">
      <c r="A23" s="18">
        <v>11023200</v>
      </c>
      <c r="B23" s="5" t="s">
        <v>24</v>
      </c>
      <c r="C23" s="1"/>
      <c r="D23" s="1"/>
      <c r="E23" s="48">
        <f t="shared" si="1"/>
        <v>0</v>
      </c>
      <c r="F23" s="1"/>
      <c r="G23" s="1"/>
      <c r="H23" s="48">
        <f t="shared" si="2"/>
        <v>0</v>
      </c>
      <c r="I23" s="55">
        <f t="shared" si="3"/>
        <v>0</v>
      </c>
      <c r="J23" s="56">
        <f t="shared" si="4"/>
        <v>0</v>
      </c>
      <c r="K23" s="57">
        <f t="shared" si="5"/>
        <v>0</v>
      </c>
      <c r="L23" s="141"/>
      <c r="M23" s="3"/>
      <c r="N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28" customFormat="1" ht="28.5">
      <c r="A24" s="25">
        <v>13000000</v>
      </c>
      <c r="B24" s="26" t="s">
        <v>25</v>
      </c>
      <c r="C24" s="15">
        <f>C25+C28</f>
        <v>374787</v>
      </c>
      <c r="D24" s="15">
        <f>D25+D28</f>
        <v>377573.07</v>
      </c>
      <c r="E24" s="47">
        <f t="shared" si="1"/>
        <v>100.74337423656637</v>
      </c>
      <c r="F24" s="15"/>
      <c r="G24" s="15"/>
      <c r="H24" s="47">
        <f t="shared" si="2"/>
        <v>0</v>
      </c>
      <c r="I24" s="61">
        <f t="shared" si="3"/>
        <v>374787</v>
      </c>
      <c r="J24" s="62">
        <f t="shared" si="4"/>
        <v>377573.07</v>
      </c>
      <c r="K24" s="63">
        <f t="shared" si="5"/>
        <v>100.74337423656637</v>
      </c>
      <c r="L24" s="141"/>
      <c r="M24" s="27"/>
      <c r="N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255" s="28" customFormat="1" ht="28.5">
      <c r="A25" s="25">
        <v>13010000</v>
      </c>
      <c r="B25" s="26" t="s">
        <v>26</v>
      </c>
      <c r="C25" s="15">
        <f>C27+C26</f>
        <v>94787</v>
      </c>
      <c r="D25" s="15">
        <f>D27+D26</f>
        <v>89549.38</v>
      </c>
      <c r="E25" s="47">
        <f t="shared" si="1"/>
        <v>94.47432664816905</v>
      </c>
      <c r="F25" s="15"/>
      <c r="G25" s="15"/>
      <c r="H25" s="47">
        <f t="shared" si="2"/>
        <v>0</v>
      </c>
      <c r="I25" s="61">
        <f t="shared" si="3"/>
        <v>94787</v>
      </c>
      <c r="J25" s="62">
        <f t="shared" si="4"/>
        <v>89549.38</v>
      </c>
      <c r="K25" s="63">
        <f t="shared" si="5"/>
        <v>94.47432664816905</v>
      </c>
      <c r="L25" s="141"/>
      <c r="M25" s="27"/>
      <c r="N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s="72" customFormat="1" ht="60">
      <c r="A26" s="66">
        <v>13010100</v>
      </c>
      <c r="B26" s="67" t="s">
        <v>200</v>
      </c>
      <c r="C26" s="24">
        <v>787</v>
      </c>
      <c r="D26" s="24">
        <v>787.82</v>
      </c>
      <c r="E26" s="50">
        <f t="shared" si="1"/>
        <v>100.10419313850065</v>
      </c>
      <c r="F26" s="24"/>
      <c r="G26" s="24"/>
      <c r="H26" s="50">
        <f t="shared" si="2"/>
        <v>0</v>
      </c>
      <c r="I26" s="68">
        <f t="shared" si="3"/>
        <v>787</v>
      </c>
      <c r="J26" s="69">
        <f t="shared" si="4"/>
        <v>787.82</v>
      </c>
      <c r="K26" s="70">
        <f t="shared" si="5"/>
        <v>100.10419313850065</v>
      </c>
      <c r="L26" s="130"/>
      <c r="M26" s="71"/>
      <c r="N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s="72" customFormat="1" ht="75">
      <c r="A27" s="66">
        <v>13010200</v>
      </c>
      <c r="B27" s="67" t="s">
        <v>27</v>
      </c>
      <c r="C27" s="24">
        <f>62100+31900</f>
        <v>94000</v>
      </c>
      <c r="D27" s="24">
        <v>88761.56</v>
      </c>
      <c r="E27" s="50">
        <f t="shared" si="1"/>
        <v>94.42719148936169</v>
      </c>
      <c r="F27" s="24"/>
      <c r="G27" s="24"/>
      <c r="H27" s="50">
        <f t="shared" si="2"/>
        <v>0</v>
      </c>
      <c r="I27" s="68">
        <f t="shared" si="3"/>
        <v>94000</v>
      </c>
      <c r="J27" s="69">
        <f t="shared" si="4"/>
        <v>88761.56</v>
      </c>
      <c r="K27" s="70">
        <f t="shared" si="5"/>
        <v>94.42719148936169</v>
      </c>
      <c r="L27" s="130"/>
      <c r="M27" s="71"/>
      <c r="N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s="28" customFormat="1" ht="15" customHeight="1">
      <c r="A28" s="25">
        <v>13030000</v>
      </c>
      <c r="B28" s="26" t="s">
        <v>28</v>
      </c>
      <c r="C28" s="15">
        <f>C30+C29</f>
        <v>280000</v>
      </c>
      <c r="D28" s="15">
        <f>D30+D29</f>
        <v>288023.69</v>
      </c>
      <c r="E28" s="47">
        <f t="shared" si="1"/>
        <v>102.86560357142858</v>
      </c>
      <c r="F28" s="15"/>
      <c r="G28" s="15"/>
      <c r="H28" s="47">
        <f t="shared" si="2"/>
        <v>0</v>
      </c>
      <c r="I28" s="61">
        <f t="shared" si="3"/>
        <v>280000</v>
      </c>
      <c r="J28" s="62">
        <f t="shared" si="4"/>
        <v>288023.69</v>
      </c>
      <c r="K28" s="63">
        <f t="shared" si="5"/>
        <v>102.86560357142858</v>
      </c>
      <c r="L28" s="130"/>
      <c r="M28" s="27"/>
      <c r="N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s="72" customFormat="1" ht="45">
      <c r="A29" s="66">
        <v>13030100</v>
      </c>
      <c r="B29" s="67" t="s">
        <v>162</v>
      </c>
      <c r="C29" s="24">
        <f>166600+78400</f>
        <v>245000</v>
      </c>
      <c r="D29" s="24">
        <v>288023.69</v>
      </c>
      <c r="E29" s="50">
        <f t="shared" si="1"/>
        <v>117.56068979591836</v>
      </c>
      <c r="F29" s="24"/>
      <c r="G29" s="24"/>
      <c r="H29" s="50">
        <f t="shared" si="2"/>
        <v>0</v>
      </c>
      <c r="I29" s="68">
        <f t="shared" si="3"/>
        <v>245000</v>
      </c>
      <c r="J29" s="69">
        <f t="shared" si="4"/>
        <v>288023.69</v>
      </c>
      <c r="K29" s="70">
        <f t="shared" si="5"/>
        <v>117.56068979591836</v>
      </c>
      <c r="L29" s="130"/>
      <c r="M29" s="71"/>
      <c r="N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s="72" customFormat="1" ht="35.25" customHeight="1">
      <c r="A30" s="66">
        <v>13030200</v>
      </c>
      <c r="B30" s="67" t="s">
        <v>29</v>
      </c>
      <c r="C30" s="24">
        <v>35000</v>
      </c>
      <c r="D30" s="24">
        <v>0</v>
      </c>
      <c r="E30" s="50">
        <f t="shared" si="1"/>
        <v>0</v>
      </c>
      <c r="F30" s="24"/>
      <c r="G30" s="24"/>
      <c r="H30" s="50">
        <f t="shared" si="2"/>
        <v>0</v>
      </c>
      <c r="I30" s="68">
        <f t="shared" si="3"/>
        <v>35000</v>
      </c>
      <c r="J30" s="69">
        <f t="shared" si="4"/>
        <v>0</v>
      </c>
      <c r="K30" s="70">
        <f t="shared" si="5"/>
        <v>0</v>
      </c>
      <c r="L30" s="130"/>
      <c r="M30" s="71"/>
      <c r="N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1:255" s="28" customFormat="1" ht="15" customHeight="1">
      <c r="A31" s="25">
        <v>14000000</v>
      </c>
      <c r="B31" s="26" t="s">
        <v>10</v>
      </c>
      <c r="C31" s="15">
        <f>C36+C33+C35</f>
        <v>135813430</v>
      </c>
      <c r="D31" s="15">
        <f>D36+D33+D35</f>
        <v>135255823.89</v>
      </c>
      <c r="E31" s="47">
        <f t="shared" si="1"/>
        <v>99.58943227484939</v>
      </c>
      <c r="F31" s="15"/>
      <c r="G31" s="15"/>
      <c r="H31" s="47">
        <f t="shared" si="2"/>
        <v>0</v>
      </c>
      <c r="I31" s="61">
        <f t="shared" si="3"/>
        <v>135813430</v>
      </c>
      <c r="J31" s="62">
        <f t="shared" si="4"/>
        <v>135255823.89</v>
      </c>
      <c r="K31" s="63">
        <f t="shared" si="5"/>
        <v>99.58943227484939</v>
      </c>
      <c r="L31" s="130"/>
      <c r="M31" s="27"/>
      <c r="N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s="28" customFormat="1" ht="31.5" customHeight="1">
      <c r="A32" s="25">
        <v>14020000</v>
      </c>
      <c r="B32" s="26" t="s">
        <v>130</v>
      </c>
      <c r="C32" s="12">
        <f>C33</f>
        <v>12096500</v>
      </c>
      <c r="D32" s="12">
        <f>D33</f>
        <v>11961199.08</v>
      </c>
      <c r="E32" s="49">
        <f t="shared" si="1"/>
        <v>98.88148704170628</v>
      </c>
      <c r="F32" s="15"/>
      <c r="G32" s="15"/>
      <c r="H32" s="47">
        <f t="shared" si="2"/>
        <v>0</v>
      </c>
      <c r="I32" s="61">
        <f t="shared" si="3"/>
        <v>12096500</v>
      </c>
      <c r="J32" s="62">
        <f t="shared" si="4"/>
        <v>11961199.08</v>
      </c>
      <c r="K32" s="63">
        <f t="shared" si="5"/>
        <v>98.88148704170628</v>
      </c>
      <c r="L32" s="130"/>
      <c r="M32" s="27"/>
      <c r="N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1:255" s="72" customFormat="1" ht="15.75" customHeight="1">
      <c r="A33" s="66">
        <v>14021900</v>
      </c>
      <c r="B33" s="85" t="s">
        <v>127</v>
      </c>
      <c r="C33" s="24">
        <f>12980000-883500</f>
        <v>12096500</v>
      </c>
      <c r="D33" s="24">
        <v>11961199.08</v>
      </c>
      <c r="E33" s="50">
        <f t="shared" si="1"/>
        <v>98.88148704170628</v>
      </c>
      <c r="F33" s="24"/>
      <c r="G33" s="24"/>
      <c r="H33" s="50">
        <f t="shared" si="2"/>
        <v>0</v>
      </c>
      <c r="I33" s="68">
        <f t="shared" si="3"/>
        <v>12096500</v>
      </c>
      <c r="J33" s="69">
        <f t="shared" si="4"/>
        <v>11961199.08</v>
      </c>
      <c r="K33" s="70">
        <f t="shared" si="5"/>
        <v>98.88148704170628</v>
      </c>
      <c r="L33" s="130"/>
      <c r="M33" s="71"/>
      <c r="N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s="28" customFormat="1" ht="42.75">
      <c r="A34" s="25">
        <v>14030000</v>
      </c>
      <c r="B34" s="26" t="s">
        <v>129</v>
      </c>
      <c r="C34" s="15">
        <f>C35</f>
        <v>49794030</v>
      </c>
      <c r="D34" s="15">
        <f>D35</f>
        <v>49166281.4</v>
      </c>
      <c r="E34" s="47">
        <f t="shared" si="1"/>
        <v>98.73930951160209</v>
      </c>
      <c r="F34" s="15"/>
      <c r="G34" s="15"/>
      <c r="H34" s="47">
        <f t="shared" si="2"/>
        <v>0</v>
      </c>
      <c r="I34" s="61">
        <f t="shared" si="3"/>
        <v>49794030</v>
      </c>
      <c r="J34" s="62">
        <f t="shared" si="4"/>
        <v>49166281.4</v>
      </c>
      <c r="K34" s="63">
        <f t="shared" si="5"/>
        <v>98.73930951160209</v>
      </c>
      <c r="L34" s="130"/>
      <c r="M34" s="27"/>
      <c r="N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72" customFormat="1" ht="15.75" customHeight="1">
      <c r="A35" s="66">
        <v>14031900</v>
      </c>
      <c r="B35" s="85" t="s">
        <v>127</v>
      </c>
      <c r="C35" s="24">
        <f>56565000-6770970</f>
        <v>49794030</v>
      </c>
      <c r="D35" s="24">
        <v>49166281.4</v>
      </c>
      <c r="E35" s="50">
        <f t="shared" si="1"/>
        <v>98.73930951160209</v>
      </c>
      <c r="F35" s="24"/>
      <c r="G35" s="24"/>
      <c r="H35" s="50">
        <f t="shared" si="2"/>
        <v>0</v>
      </c>
      <c r="I35" s="68">
        <f t="shared" si="3"/>
        <v>49794030</v>
      </c>
      <c r="J35" s="69">
        <f t="shared" si="4"/>
        <v>49166281.4</v>
      </c>
      <c r="K35" s="70">
        <f t="shared" si="5"/>
        <v>98.73930951160209</v>
      </c>
      <c r="L35" s="130"/>
      <c r="M35" s="71"/>
      <c r="N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s="28" customFormat="1" ht="42.75">
      <c r="A36" s="25">
        <v>14040000</v>
      </c>
      <c r="B36" s="26" t="s">
        <v>30</v>
      </c>
      <c r="C36" s="15">
        <f>81000000-7077100</f>
        <v>73922900</v>
      </c>
      <c r="D36" s="15">
        <v>74128343.41</v>
      </c>
      <c r="E36" s="47">
        <f t="shared" si="1"/>
        <v>100.27791578793581</v>
      </c>
      <c r="F36" s="15"/>
      <c r="G36" s="15"/>
      <c r="H36" s="47">
        <f t="shared" si="2"/>
        <v>0</v>
      </c>
      <c r="I36" s="61">
        <f t="shared" si="3"/>
        <v>73922900</v>
      </c>
      <c r="J36" s="62">
        <f t="shared" si="4"/>
        <v>74128343.41</v>
      </c>
      <c r="K36" s="63">
        <f t="shared" si="5"/>
        <v>100.27791578793581</v>
      </c>
      <c r="L36" s="130"/>
      <c r="M36" s="27"/>
      <c r="N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1:255" s="28" customFormat="1" ht="15" customHeight="1">
      <c r="A37" s="25">
        <v>18000000</v>
      </c>
      <c r="B37" s="26" t="s">
        <v>111</v>
      </c>
      <c r="C37" s="15">
        <f>C38+C49+C54</f>
        <v>421352287</v>
      </c>
      <c r="D37" s="15">
        <f>D38+D49+D54+D52</f>
        <v>426046877.86</v>
      </c>
      <c r="E37" s="47">
        <f t="shared" si="1"/>
        <v>101.11417239323066</v>
      </c>
      <c r="F37" s="15"/>
      <c r="G37" s="15"/>
      <c r="H37" s="47">
        <f t="shared" si="2"/>
        <v>0</v>
      </c>
      <c r="I37" s="61">
        <f t="shared" si="3"/>
        <v>421352287</v>
      </c>
      <c r="J37" s="62">
        <f t="shared" si="4"/>
        <v>426046877.86</v>
      </c>
      <c r="K37" s="63">
        <f t="shared" si="5"/>
        <v>101.11417239323066</v>
      </c>
      <c r="L37" s="130"/>
      <c r="M37" s="27"/>
      <c r="N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28" customFormat="1" ht="15" customHeight="1">
      <c r="A38" s="25" t="s">
        <v>31</v>
      </c>
      <c r="B38" s="26" t="s">
        <v>112</v>
      </c>
      <c r="C38" s="15">
        <f>C39+C40+C42+C43+C44+C45+C46+C47+C48+C41</f>
        <v>195669901</v>
      </c>
      <c r="D38" s="15">
        <f>D39+D40+D42+D43+D44+D45+D46+D47+D48+D41</f>
        <v>201145644.17</v>
      </c>
      <c r="E38" s="47">
        <f t="shared" si="1"/>
        <v>102.79845962103286</v>
      </c>
      <c r="F38" s="15"/>
      <c r="G38" s="15"/>
      <c r="H38" s="47">
        <f t="shared" si="2"/>
        <v>0</v>
      </c>
      <c r="I38" s="61">
        <f t="shared" si="3"/>
        <v>195669901</v>
      </c>
      <c r="J38" s="62">
        <f t="shared" si="4"/>
        <v>201145644.17</v>
      </c>
      <c r="K38" s="63">
        <f t="shared" si="5"/>
        <v>102.79845962103286</v>
      </c>
      <c r="L38" s="130"/>
      <c r="M38" s="27"/>
      <c r="N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72" customFormat="1" ht="60">
      <c r="A39" s="66" t="s">
        <v>32</v>
      </c>
      <c r="B39" s="67" t="s">
        <v>34</v>
      </c>
      <c r="C39" s="24">
        <f>169500-50581</f>
        <v>118919</v>
      </c>
      <c r="D39" s="24">
        <v>121190.96</v>
      </c>
      <c r="E39" s="50">
        <f t="shared" si="1"/>
        <v>101.91051051556101</v>
      </c>
      <c r="F39" s="24"/>
      <c r="G39" s="24"/>
      <c r="H39" s="50">
        <f t="shared" si="2"/>
        <v>0</v>
      </c>
      <c r="I39" s="68">
        <f t="shared" si="3"/>
        <v>118919</v>
      </c>
      <c r="J39" s="69">
        <f t="shared" si="4"/>
        <v>121190.96</v>
      </c>
      <c r="K39" s="70">
        <f t="shared" si="5"/>
        <v>101.91051051556101</v>
      </c>
      <c r="L39" s="130"/>
      <c r="M39" s="71"/>
      <c r="N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s="72" customFormat="1" ht="60">
      <c r="A40" s="66" t="s">
        <v>33</v>
      </c>
      <c r="B40" s="67" t="s">
        <v>35</v>
      </c>
      <c r="C40" s="24">
        <f>2541100-511408</f>
        <v>2029692</v>
      </c>
      <c r="D40" s="24">
        <v>2145882.57</v>
      </c>
      <c r="E40" s="50">
        <f t="shared" si="1"/>
        <v>105.72454195020723</v>
      </c>
      <c r="F40" s="24"/>
      <c r="G40" s="24"/>
      <c r="H40" s="50">
        <f t="shared" si="2"/>
        <v>0</v>
      </c>
      <c r="I40" s="68">
        <f t="shared" si="3"/>
        <v>2029692</v>
      </c>
      <c r="J40" s="69">
        <f t="shared" si="4"/>
        <v>2145882.57</v>
      </c>
      <c r="K40" s="70">
        <f t="shared" si="5"/>
        <v>105.72454195020723</v>
      </c>
      <c r="L40" s="130"/>
      <c r="M40" s="71"/>
      <c r="N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s="72" customFormat="1" ht="60">
      <c r="A41" s="66" t="s">
        <v>36</v>
      </c>
      <c r="B41" s="67" t="s">
        <v>38</v>
      </c>
      <c r="C41" s="24">
        <f>1163000-536910</f>
        <v>626090</v>
      </c>
      <c r="D41" s="24">
        <v>674879.89</v>
      </c>
      <c r="E41" s="50">
        <f t="shared" si="1"/>
        <v>107.79279177115112</v>
      </c>
      <c r="F41" s="24"/>
      <c r="G41" s="24"/>
      <c r="H41" s="50">
        <f t="shared" si="2"/>
        <v>0</v>
      </c>
      <c r="I41" s="68">
        <f t="shared" si="3"/>
        <v>626090</v>
      </c>
      <c r="J41" s="69">
        <f t="shared" si="4"/>
        <v>674879.89</v>
      </c>
      <c r="K41" s="70">
        <f t="shared" si="5"/>
        <v>107.79279177115112</v>
      </c>
      <c r="L41" s="130"/>
      <c r="M41" s="71"/>
      <c r="N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s="72" customFormat="1" ht="60">
      <c r="A42" s="66" t="s">
        <v>37</v>
      </c>
      <c r="B42" s="67" t="s">
        <v>39</v>
      </c>
      <c r="C42" s="24">
        <f>6143100+6261200</f>
        <v>12404300</v>
      </c>
      <c r="D42" s="24">
        <v>12691241.05</v>
      </c>
      <c r="E42" s="50">
        <f t="shared" si="1"/>
        <v>102.31323855437229</v>
      </c>
      <c r="F42" s="24"/>
      <c r="G42" s="24"/>
      <c r="H42" s="50">
        <f t="shared" si="2"/>
        <v>0</v>
      </c>
      <c r="I42" s="68">
        <f t="shared" si="3"/>
        <v>12404300</v>
      </c>
      <c r="J42" s="69">
        <f t="shared" si="4"/>
        <v>12691241.05</v>
      </c>
      <c r="K42" s="70">
        <f t="shared" si="5"/>
        <v>102.31323855437229</v>
      </c>
      <c r="L42" s="130"/>
      <c r="M42" s="71"/>
      <c r="N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s="72" customFormat="1" ht="15" customHeight="1">
      <c r="A43" s="66">
        <v>18010500</v>
      </c>
      <c r="B43" s="67" t="s">
        <v>40</v>
      </c>
      <c r="C43" s="24">
        <v>63795600</v>
      </c>
      <c r="D43" s="24">
        <v>69767275.77</v>
      </c>
      <c r="E43" s="50">
        <f t="shared" si="1"/>
        <v>109.36063893121155</v>
      </c>
      <c r="F43" s="24"/>
      <c r="G43" s="24"/>
      <c r="H43" s="50">
        <f t="shared" si="2"/>
        <v>0</v>
      </c>
      <c r="I43" s="68">
        <f t="shared" si="3"/>
        <v>63795600</v>
      </c>
      <c r="J43" s="69">
        <f t="shared" si="4"/>
        <v>69767275.77</v>
      </c>
      <c r="K43" s="70">
        <f t="shared" si="5"/>
        <v>109.36063893121155</v>
      </c>
      <c r="L43" s="130"/>
      <c r="M43" s="71"/>
      <c r="N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255" s="72" customFormat="1" ht="15" customHeight="1">
      <c r="A44" s="66">
        <v>18010600</v>
      </c>
      <c r="B44" s="67" t="s">
        <v>41</v>
      </c>
      <c r="C44" s="24">
        <v>94546900</v>
      </c>
      <c r="D44" s="24">
        <v>94776727.03</v>
      </c>
      <c r="E44" s="50">
        <f t="shared" si="1"/>
        <v>100.2430825653723</v>
      </c>
      <c r="F44" s="24"/>
      <c r="G44" s="24"/>
      <c r="H44" s="50">
        <f t="shared" si="2"/>
        <v>0</v>
      </c>
      <c r="I44" s="68">
        <f t="shared" si="3"/>
        <v>94546900</v>
      </c>
      <c r="J44" s="69">
        <f t="shared" si="4"/>
        <v>94776727.03</v>
      </c>
      <c r="K44" s="70">
        <f t="shared" si="5"/>
        <v>100.2430825653723</v>
      </c>
      <c r="L44" s="130"/>
      <c r="M44" s="71"/>
      <c r="N44" s="71"/>
      <c r="IM44" s="71"/>
      <c r="IN44" s="71"/>
      <c r="IO44" s="71"/>
      <c r="IP44" s="71"/>
      <c r="IQ44" s="71"/>
      <c r="IR44" s="71"/>
      <c r="IS44" s="71"/>
      <c r="IT44" s="71"/>
      <c r="IU44" s="71"/>
    </row>
    <row r="45" spans="1:255" s="72" customFormat="1" ht="15" customHeight="1">
      <c r="A45" s="66">
        <v>18010700</v>
      </c>
      <c r="B45" s="67" t="s">
        <v>42</v>
      </c>
      <c r="C45" s="24">
        <v>6992100</v>
      </c>
      <c r="D45" s="24">
        <v>5787115.6</v>
      </c>
      <c r="E45" s="50">
        <f t="shared" si="1"/>
        <v>82.76648789347978</v>
      </c>
      <c r="F45" s="24"/>
      <c r="G45" s="24"/>
      <c r="H45" s="50">
        <f t="shared" si="2"/>
        <v>0</v>
      </c>
      <c r="I45" s="68">
        <f t="shared" si="3"/>
        <v>6992100</v>
      </c>
      <c r="J45" s="69">
        <f t="shared" si="4"/>
        <v>5787115.6</v>
      </c>
      <c r="K45" s="70">
        <f t="shared" si="5"/>
        <v>82.76648789347978</v>
      </c>
      <c r="L45" s="130"/>
      <c r="M45" s="71"/>
      <c r="N45" s="71"/>
      <c r="IM45" s="71"/>
      <c r="IN45" s="71"/>
      <c r="IO45" s="71"/>
      <c r="IP45" s="71"/>
      <c r="IQ45" s="71"/>
      <c r="IR45" s="71"/>
      <c r="IS45" s="71"/>
      <c r="IT45" s="71"/>
      <c r="IU45" s="71"/>
    </row>
    <row r="46" spans="1:255" s="72" customFormat="1" ht="17.25" customHeight="1">
      <c r="A46" s="66">
        <v>18010900</v>
      </c>
      <c r="B46" s="67" t="s">
        <v>43</v>
      </c>
      <c r="C46" s="24">
        <v>14165400</v>
      </c>
      <c r="D46" s="24">
        <v>14193847.96</v>
      </c>
      <c r="E46" s="50">
        <f t="shared" si="1"/>
        <v>100.20082708571591</v>
      </c>
      <c r="F46" s="24"/>
      <c r="G46" s="24"/>
      <c r="H46" s="50">
        <f t="shared" si="2"/>
        <v>0</v>
      </c>
      <c r="I46" s="68">
        <f t="shared" si="3"/>
        <v>14165400</v>
      </c>
      <c r="J46" s="69">
        <f t="shared" si="4"/>
        <v>14193847.96</v>
      </c>
      <c r="K46" s="70">
        <f t="shared" si="5"/>
        <v>100.20082708571591</v>
      </c>
      <c r="L46" s="130"/>
      <c r="M46" s="71"/>
      <c r="N46" s="71"/>
      <c r="IM46" s="71"/>
      <c r="IN46" s="71"/>
      <c r="IO46" s="71"/>
      <c r="IP46" s="71"/>
      <c r="IQ46" s="71"/>
      <c r="IR46" s="71"/>
      <c r="IS46" s="71"/>
      <c r="IT46" s="71"/>
      <c r="IU46" s="71"/>
    </row>
    <row r="47" spans="1:255" s="72" customFormat="1" ht="15" customHeight="1">
      <c r="A47" s="66">
        <v>18011000</v>
      </c>
      <c r="B47" s="67" t="s">
        <v>44</v>
      </c>
      <c r="C47" s="24">
        <f>575000-287050</f>
        <v>287950</v>
      </c>
      <c r="D47" s="24">
        <v>333781.58</v>
      </c>
      <c r="E47" s="50">
        <f t="shared" si="1"/>
        <v>115.91650633790589</v>
      </c>
      <c r="F47" s="24"/>
      <c r="G47" s="24"/>
      <c r="H47" s="50">
        <f t="shared" si="2"/>
        <v>0</v>
      </c>
      <c r="I47" s="68">
        <f t="shared" si="3"/>
        <v>287950</v>
      </c>
      <c r="J47" s="69">
        <f t="shared" si="4"/>
        <v>333781.58</v>
      </c>
      <c r="K47" s="70">
        <f t="shared" si="5"/>
        <v>115.91650633790589</v>
      </c>
      <c r="L47" s="130"/>
      <c r="M47" s="71"/>
      <c r="N47" s="71"/>
      <c r="IM47" s="71"/>
      <c r="IN47" s="71"/>
      <c r="IO47" s="71"/>
      <c r="IP47" s="71"/>
      <c r="IQ47" s="71"/>
      <c r="IR47" s="71"/>
      <c r="IS47" s="71"/>
      <c r="IT47" s="71"/>
      <c r="IU47" s="71"/>
    </row>
    <row r="48" spans="1:255" s="72" customFormat="1" ht="15" customHeight="1">
      <c r="A48" s="66">
        <v>18011100</v>
      </c>
      <c r="B48" s="67" t="s">
        <v>45</v>
      </c>
      <c r="C48" s="24">
        <f>629500+73450</f>
        <v>702950</v>
      </c>
      <c r="D48" s="24">
        <v>653701.76</v>
      </c>
      <c r="E48" s="50">
        <f t="shared" si="1"/>
        <v>92.99406216658367</v>
      </c>
      <c r="F48" s="24"/>
      <c r="G48" s="24"/>
      <c r="H48" s="50">
        <f t="shared" si="2"/>
        <v>0</v>
      </c>
      <c r="I48" s="68">
        <f t="shared" si="3"/>
        <v>702950</v>
      </c>
      <c r="J48" s="69">
        <f t="shared" si="4"/>
        <v>653701.76</v>
      </c>
      <c r="K48" s="70">
        <f t="shared" si="5"/>
        <v>92.99406216658367</v>
      </c>
      <c r="L48" s="130"/>
      <c r="M48" s="71"/>
      <c r="N48" s="71"/>
      <c r="IM48" s="71"/>
      <c r="IN48" s="71"/>
      <c r="IO48" s="71"/>
      <c r="IP48" s="71"/>
      <c r="IQ48" s="71"/>
      <c r="IR48" s="71"/>
      <c r="IS48" s="71"/>
      <c r="IT48" s="71"/>
      <c r="IU48" s="71"/>
    </row>
    <row r="49" spans="1:255" s="72" customFormat="1" ht="15" customHeight="1">
      <c r="A49" s="66">
        <v>18030000</v>
      </c>
      <c r="B49" s="67" t="s">
        <v>48</v>
      </c>
      <c r="C49" s="24">
        <f>C50+C51</f>
        <v>768000</v>
      </c>
      <c r="D49" s="24">
        <f>D50+D51</f>
        <v>753027.3799999999</v>
      </c>
      <c r="E49" s="50">
        <f t="shared" si="1"/>
        <v>98.05044010416665</v>
      </c>
      <c r="F49" s="24"/>
      <c r="G49" s="24"/>
      <c r="H49" s="50">
        <f t="shared" si="2"/>
        <v>0</v>
      </c>
      <c r="I49" s="68">
        <f t="shared" si="3"/>
        <v>768000</v>
      </c>
      <c r="J49" s="69">
        <f t="shared" si="4"/>
        <v>753027.3799999999</v>
      </c>
      <c r="K49" s="70">
        <f t="shared" si="5"/>
        <v>98.05044010416665</v>
      </c>
      <c r="L49" s="130"/>
      <c r="M49" s="71"/>
      <c r="N49" s="71"/>
      <c r="IM49" s="71"/>
      <c r="IN49" s="71"/>
      <c r="IO49" s="71"/>
      <c r="IP49" s="71"/>
      <c r="IQ49" s="71"/>
      <c r="IR49" s="71"/>
      <c r="IS49" s="71"/>
      <c r="IT49" s="71"/>
      <c r="IU49" s="71"/>
    </row>
    <row r="50" spans="1:255" s="72" customFormat="1" ht="17.25" customHeight="1">
      <c r="A50" s="66">
        <v>18030100</v>
      </c>
      <c r="B50" s="67" t="s">
        <v>46</v>
      </c>
      <c r="C50" s="24">
        <f>180400+508730</f>
        <v>689130</v>
      </c>
      <c r="D50" s="24">
        <v>677121.44</v>
      </c>
      <c r="E50" s="50">
        <f t="shared" si="1"/>
        <v>98.25743183434184</v>
      </c>
      <c r="F50" s="24"/>
      <c r="G50" s="24"/>
      <c r="H50" s="50">
        <f t="shared" si="2"/>
        <v>0</v>
      </c>
      <c r="I50" s="68">
        <f t="shared" si="3"/>
        <v>689130</v>
      </c>
      <c r="J50" s="69">
        <f t="shared" si="4"/>
        <v>677121.44</v>
      </c>
      <c r="K50" s="70">
        <f t="shared" si="5"/>
        <v>98.25743183434184</v>
      </c>
      <c r="L50" s="130"/>
      <c r="M50" s="71"/>
      <c r="N50" s="71"/>
      <c r="IM50" s="71"/>
      <c r="IN50" s="71"/>
      <c r="IO50" s="71"/>
      <c r="IP50" s="71"/>
      <c r="IQ50" s="71"/>
      <c r="IR50" s="71"/>
      <c r="IS50" s="71"/>
      <c r="IT50" s="71"/>
      <c r="IU50" s="71"/>
    </row>
    <row r="51" spans="1:255" s="72" customFormat="1" ht="15.75" customHeight="1">
      <c r="A51" s="66">
        <v>18030200</v>
      </c>
      <c r="B51" s="67" t="s">
        <v>47</v>
      </c>
      <c r="C51" s="24">
        <f>84900-6030</f>
        <v>78870</v>
      </c>
      <c r="D51" s="24">
        <v>75905.94</v>
      </c>
      <c r="E51" s="50">
        <f t="shared" si="1"/>
        <v>96.24184100418411</v>
      </c>
      <c r="F51" s="24"/>
      <c r="G51" s="24"/>
      <c r="H51" s="50">
        <f t="shared" si="2"/>
        <v>0</v>
      </c>
      <c r="I51" s="68">
        <f t="shared" si="3"/>
        <v>78870</v>
      </c>
      <c r="J51" s="69">
        <f t="shared" si="4"/>
        <v>75905.94</v>
      </c>
      <c r="K51" s="70">
        <f t="shared" si="5"/>
        <v>96.24184100418411</v>
      </c>
      <c r="L51" s="130"/>
      <c r="M51" s="71"/>
      <c r="N51" s="71"/>
      <c r="IM51" s="71"/>
      <c r="IN51" s="71"/>
      <c r="IO51" s="71"/>
      <c r="IP51" s="71"/>
      <c r="IQ51" s="71"/>
      <c r="IR51" s="71"/>
      <c r="IS51" s="71"/>
      <c r="IT51" s="71"/>
      <c r="IU51" s="71"/>
    </row>
    <row r="52" spans="1:255" s="28" customFormat="1" ht="42.75">
      <c r="A52" s="25" t="s">
        <v>211</v>
      </c>
      <c r="B52" s="26" t="s">
        <v>209</v>
      </c>
      <c r="C52" s="15"/>
      <c r="D52" s="15">
        <f>D53</f>
        <v>-730</v>
      </c>
      <c r="E52" s="47">
        <f t="shared" si="1"/>
        <v>0</v>
      </c>
      <c r="F52" s="15"/>
      <c r="G52" s="15"/>
      <c r="H52" s="47">
        <f t="shared" si="2"/>
        <v>0</v>
      </c>
      <c r="I52" s="61">
        <f t="shared" si="3"/>
        <v>0</v>
      </c>
      <c r="J52" s="62">
        <f t="shared" si="4"/>
        <v>-730</v>
      </c>
      <c r="K52" s="63">
        <f t="shared" si="5"/>
        <v>0</v>
      </c>
      <c r="L52" s="130"/>
      <c r="M52" s="27"/>
      <c r="N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72" customFormat="1" ht="45">
      <c r="A53" s="66" t="s">
        <v>212</v>
      </c>
      <c r="B53" s="67" t="s">
        <v>210</v>
      </c>
      <c r="C53" s="24"/>
      <c r="D53" s="24">
        <v>-730</v>
      </c>
      <c r="E53" s="50">
        <f t="shared" si="1"/>
        <v>0</v>
      </c>
      <c r="F53" s="24"/>
      <c r="G53" s="24"/>
      <c r="H53" s="50">
        <f t="shared" si="2"/>
        <v>0</v>
      </c>
      <c r="I53" s="68">
        <f t="shared" si="3"/>
        <v>0</v>
      </c>
      <c r="J53" s="69">
        <f t="shared" si="4"/>
        <v>-730</v>
      </c>
      <c r="K53" s="70">
        <f t="shared" si="5"/>
        <v>0</v>
      </c>
      <c r="L53" s="130"/>
      <c r="M53" s="71"/>
      <c r="N53" s="71"/>
      <c r="IM53" s="71"/>
      <c r="IN53" s="71"/>
      <c r="IO53" s="71"/>
      <c r="IP53" s="71"/>
      <c r="IQ53" s="71"/>
      <c r="IR53" s="71"/>
      <c r="IS53" s="71"/>
      <c r="IT53" s="71"/>
      <c r="IU53" s="71"/>
    </row>
    <row r="54" spans="1:255" s="28" customFormat="1" ht="15" customHeight="1">
      <c r="A54" s="25" t="s">
        <v>49</v>
      </c>
      <c r="B54" s="26" t="s">
        <v>50</v>
      </c>
      <c r="C54" s="15">
        <f>C55+C56+C57</f>
        <v>224914386</v>
      </c>
      <c r="D54" s="15">
        <f>D55+D56+D57</f>
        <v>224148936.31</v>
      </c>
      <c r="E54" s="47">
        <f t="shared" si="1"/>
        <v>99.6596706401875</v>
      </c>
      <c r="F54" s="15"/>
      <c r="G54" s="15"/>
      <c r="H54" s="47">
        <f t="shared" si="2"/>
        <v>0</v>
      </c>
      <c r="I54" s="61">
        <f t="shared" si="3"/>
        <v>224914386</v>
      </c>
      <c r="J54" s="62">
        <f t="shared" si="4"/>
        <v>224148936.31</v>
      </c>
      <c r="K54" s="63">
        <f t="shared" si="5"/>
        <v>99.6596706401875</v>
      </c>
      <c r="L54" s="130"/>
      <c r="M54" s="27"/>
      <c r="N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72" customFormat="1" ht="15" customHeight="1">
      <c r="A55" s="66" t="s">
        <v>51</v>
      </c>
      <c r="B55" s="67" t="s">
        <v>52</v>
      </c>
      <c r="C55" s="24">
        <f>43316400+1420760</f>
        <v>44737160</v>
      </c>
      <c r="D55" s="24">
        <v>44605615.16</v>
      </c>
      <c r="E55" s="50">
        <f t="shared" si="1"/>
        <v>99.70596068234997</v>
      </c>
      <c r="F55" s="24"/>
      <c r="G55" s="24"/>
      <c r="H55" s="50">
        <f t="shared" si="2"/>
        <v>0</v>
      </c>
      <c r="I55" s="68">
        <f t="shared" si="3"/>
        <v>44737160</v>
      </c>
      <c r="J55" s="69">
        <f t="shared" si="4"/>
        <v>44605615.16</v>
      </c>
      <c r="K55" s="70">
        <f t="shared" si="5"/>
        <v>99.70596068234997</v>
      </c>
      <c r="L55" s="130"/>
      <c r="M55" s="71"/>
      <c r="N55" s="71"/>
      <c r="IM55" s="71"/>
      <c r="IN55" s="71"/>
      <c r="IO55" s="71"/>
      <c r="IP55" s="71"/>
      <c r="IQ55" s="71"/>
      <c r="IR55" s="71"/>
      <c r="IS55" s="71"/>
      <c r="IT55" s="71"/>
      <c r="IU55" s="71"/>
    </row>
    <row r="56" spans="1:255" s="72" customFormat="1" ht="15" customHeight="1">
      <c r="A56" s="66" t="s">
        <v>53</v>
      </c>
      <c r="B56" s="67" t="s">
        <v>54</v>
      </c>
      <c r="C56" s="24">
        <f>168031100+11909500</f>
        <v>179940600</v>
      </c>
      <c r="D56" s="24">
        <v>179306694.27</v>
      </c>
      <c r="E56" s="50">
        <f t="shared" si="1"/>
        <v>99.64771389558555</v>
      </c>
      <c r="F56" s="24"/>
      <c r="G56" s="24"/>
      <c r="H56" s="50">
        <f t="shared" si="2"/>
        <v>0</v>
      </c>
      <c r="I56" s="68">
        <f t="shared" si="3"/>
        <v>179940600</v>
      </c>
      <c r="J56" s="69">
        <f t="shared" si="4"/>
        <v>179306694.27</v>
      </c>
      <c r="K56" s="70">
        <f t="shared" si="5"/>
        <v>99.64771389558555</v>
      </c>
      <c r="L56" s="130"/>
      <c r="M56" s="71"/>
      <c r="N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2" customFormat="1" ht="75">
      <c r="A57" s="66">
        <v>18050500</v>
      </c>
      <c r="B57" s="67" t="s">
        <v>113</v>
      </c>
      <c r="C57" s="24">
        <f>232900+3726</f>
        <v>236626</v>
      </c>
      <c r="D57" s="24">
        <v>236626.88</v>
      </c>
      <c r="E57" s="50">
        <f t="shared" si="1"/>
        <v>100.00037189488897</v>
      </c>
      <c r="F57" s="24"/>
      <c r="G57" s="24"/>
      <c r="H57" s="50">
        <f t="shared" si="2"/>
        <v>0</v>
      </c>
      <c r="I57" s="68">
        <f t="shared" si="3"/>
        <v>236626</v>
      </c>
      <c r="J57" s="69">
        <f t="shared" si="4"/>
        <v>236626.88</v>
      </c>
      <c r="K57" s="70">
        <f t="shared" si="5"/>
        <v>100.00037189488897</v>
      </c>
      <c r="L57" s="130"/>
      <c r="M57" s="71"/>
      <c r="N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28" customFormat="1" ht="15" customHeight="1">
      <c r="A58" s="25">
        <v>19000000</v>
      </c>
      <c r="B58" s="26" t="s">
        <v>5</v>
      </c>
      <c r="C58" s="15">
        <f>C59</f>
        <v>0</v>
      </c>
      <c r="D58" s="15"/>
      <c r="E58" s="47">
        <f t="shared" si="1"/>
        <v>0</v>
      </c>
      <c r="F58" s="15">
        <f>F59</f>
        <v>4380900</v>
      </c>
      <c r="G58" s="15">
        <f>G59</f>
        <v>4170845.13</v>
      </c>
      <c r="H58" s="47">
        <f t="shared" si="2"/>
        <v>95.20521194275149</v>
      </c>
      <c r="I58" s="61">
        <f t="shared" si="3"/>
        <v>4380900</v>
      </c>
      <c r="J58" s="62">
        <f t="shared" si="4"/>
        <v>4170845.13</v>
      </c>
      <c r="K58" s="63">
        <f t="shared" si="5"/>
        <v>95.20521194275149</v>
      </c>
      <c r="L58" s="130"/>
      <c r="M58" s="27"/>
      <c r="N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s="28" customFormat="1" ht="15" customHeight="1">
      <c r="A59" s="25" t="s">
        <v>55</v>
      </c>
      <c r="B59" s="26" t="s">
        <v>56</v>
      </c>
      <c r="C59" s="15">
        <f>C60+C61+C62</f>
        <v>0</v>
      </c>
      <c r="D59" s="15"/>
      <c r="E59" s="47">
        <f t="shared" si="1"/>
        <v>0</v>
      </c>
      <c r="F59" s="15">
        <f>F60+F61+F62</f>
        <v>4380900</v>
      </c>
      <c r="G59" s="15">
        <f>G60+G61+G62</f>
        <v>4170845.13</v>
      </c>
      <c r="H59" s="47">
        <f t="shared" si="2"/>
        <v>95.20521194275149</v>
      </c>
      <c r="I59" s="61">
        <f t="shared" si="3"/>
        <v>4380900</v>
      </c>
      <c r="J59" s="62">
        <f t="shared" si="4"/>
        <v>4170845.13</v>
      </c>
      <c r="K59" s="63">
        <f t="shared" si="5"/>
        <v>95.20521194275149</v>
      </c>
      <c r="L59" s="130"/>
      <c r="M59" s="27"/>
      <c r="N59" s="27"/>
      <c r="IM59" s="27"/>
      <c r="IN59" s="27"/>
      <c r="IO59" s="27"/>
      <c r="IP59" s="27"/>
      <c r="IQ59" s="27"/>
      <c r="IR59" s="27"/>
      <c r="IS59" s="27"/>
      <c r="IT59" s="27"/>
      <c r="IU59" s="27"/>
    </row>
    <row r="60" spans="1:255" s="72" customFormat="1" ht="75">
      <c r="A60" s="66" t="s">
        <v>57</v>
      </c>
      <c r="B60" s="67" t="s">
        <v>177</v>
      </c>
      <c r="C60" s="24"/>
      <c r="D60" s="24"/>
      <c r="E60" s="50">
        <f t="shared" si="1"/>
        <v>0</v>
      </c>
      <c r="F60" s="24">
        <v>3143500</v>
      </c>
      <c r="G60" s="24">
        <v>2825697.63</v>
      </c>
      <c r="H60" s="50">
        <f t="shared" si="2"/>
        <v>89.89017432797837</v>
      </c>
      <c r="I60" s="68">
        <f t="shared" si="3"/>
        <v>3143500</v>
      </c>
      <c r="J60" s="69">
        <f t="shared" si="4"/>
        <v>2825697.63</v>
      </c>
      <c r="K60" s="70">
        <f t="shared" si="5"/>
        <v>89.89017432797837</v>
      </c>
      <c r="L60" s="130"/>
      <c r="M60" s="71"/>
      <c r="N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2" customFormat="1" ht="30">
      <c r="A61" s="66">
        <v>19010200</v>
      </c>
      <c r="B61" s="67" t="s">
        <v>58</v>
      </c>
      <c r="C61" s="24"/>
      <c r="D61" s="24"/>
      <c r="E61" s="50">
        <f t="shared" si="1"/>
        <v>0</v>
      </c>
      <c r="F61" s="24">
        <v>274600</v>
      </c>
      <c r="G61" s="24">
        <v>510883.89</v>
      </c>
      <c r="H61" s="50">
        <f t="shared" si="2"/>
        <v>186.046573197378</v>
      </c>
      <c r="I61" s="68">
        <f t="shared" si="3"/>
        <v>274600</v>
      </c>
      <c r="J61" s="69">
        <f t="shared" si="4"/>
        <v>510883.89</v>
      </c>
      <c r="K61" s="70">
        <f t="shared" si="5"/>
        <v>186.046573197378</v>
      </c>
      <c r="L61" s="130"/>
      <c r="M61" s="71"/>
      <c r="N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2" customFormat="1" ht="60">
      <c r="A62" s="66">
        <v>19010300</v>
      </c>
      <c r="B62" s="67" t="s">
        <v>59</v>
      </c>
      <c r="C62" s="24"/>
      <c r="D62" s="24"/>
      <c r="E62" s="50">
        <f t="shared" si="1"/>
        <v>0</v>
      </c>
      <c r="F62" s="24">
        <v>962800</v>
      </c>
      <c r="G62" s="24">
        <v>834263.61</v>
      </c>
      <c r="H62" s="50">
        <f t="shared" si="2"/>
        <v>86.64973099293726</v>
      </c>
      <c r="I62" s="68">
        <f t="shared" si="3"/>
        <v>962800</v>
      </c>
      <c r="J62" s="69">
        <f t="shared" si="4"/>
        <v>834263.61</v>
      </c>
      <c r="K62" s="70">
        <f t="shared" si="5"/>
        <v>86.64973099293726</v>
      </c>
      <c r="L62" s="130"/>
      <c r="M62" s="71"/>
      <c r="N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31" customFormat="1" ht="23.25" customHeight="1">
      <c r="A63" s="121">
        <v>20000000</v>
      </c>
      <c r="B63" s="29" t="s">
        <v>6</v>
      </c>
      <c r="C63" s="15">
        <f>C64+C75+C88+C100</f>
        <v>56091602</v>
      </c>
      <c r="D63" s="15">
        <f>D64+D75+D88+D100</f>
        <v>54206981.14</v>
      </c>
      <c r="E63" s="47">
        <f t="shared" si="1"/>
        <v>96.64010156101442</v>
      </c>
      <c r="F63" s="15">
        <f>F90+F99+F100+F96+F64</f>
        <v>107459835</v>
      </c>
      <c r="G63" s="15">
        <f>G90+G99+G100+G96+G64</f>
        <v>89673577.82000002</v>
      </c>
      <c r="H63" s="47">
        <f t="shared" si="2"/>
        <v>83.44846036661049</v>
      </c>
      <c r="I63" s="61">
        <f t="shared" si="3"/>
        <v>163551437</v>
      </c>
      <c r="J63" s="62">
        <f t="shared" si="4"/>
        <v>143880558.96000004</v>
      </c>
      <c r="K63" s="63">
        <f t="shared" si="5"/>
        <v>87.97266572472857</v>
      </c>
      <c r="L63" s="130"/>
      <c r="M63" s="30"/>
      <c r="N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28" customFormat="1" ht="28.5">
      <c r="A64" s="25">
        <v>21000000</v>
      </c>
      <c r="B64" s="26" t="s">
        <v>7</v>
      </c>
      <c r="C64" s="15">
        <f>C65+C68+C67</f>
        <v>8106625</v>
      </c>
      <c r="D64" s="15">
        <f>D65+D68+D67</f>
        <v>5862274.93</v>
      </c>
      <c r="E64" s="47">
        <f t="shared" si="1"/>
        <v>72.3146183522736</v>
      </c>
      <c r="F64" s="15">
        <f>F74</f>
        <v>36360</v>
      </c>
      <c r="G64" s="15">
        <f>G74</f>
        <v>36360</v>
      </c>
      <c r="H64" s="47">
        <f t="shared" si="2"/>
        <v>100</v>
      </c>
      <c r="I64" s="61">
        <f t="shared" si="3"/>
        <v>8142985</v>
      </c>
      <c r="J64" s="62">
        <f t="shared" si="4"/>
        <v>5898634.93</v>
      </c>
      <c r="K64" s="63">
        <f t="shared" si="5"/>
        <v>72.43823892589756</v>
      </c>
      <c r="L64" s="130"/>
      <c r="M64" s="27"/>
      <c r="N64" s="27"/>
      <c r="IM64" s="27"/>
      <c r="IN64" s="27"/>
      <c r="IO64" s="27"/>
      <c r="IP64" s="27"/>
      <c r="IQ64" s="27"/>
      <c r="IR64" s="27"/>
      <c r="IS64" s="27"/>
      <c r="IT64" s="27"/>
      <c r="IU64" s="27"/>
    </row>
    <row r="65" spans="1:255" s="4" customFormat="1" ht="90">
      <c r="A65" s="18" t="s">
        <v>60</v>
      </c>
      <c r="B65" s="5" t="s">
        <v>142</v>
      </c>
      <c r="C65" s="1">
        <f>C66</f>
        <v>65400</v>
      </c>
      <c r="D65" s="1">
        <f>D66</f>
        <v>344399.9</v>
      </c>
      <c r="E65" s="48">
        <f t="shared" si="1"/>
        <v>526.6053516819572</v>
      </c>
      <c r="F65" s="1"/>
      <c r="G65" s="1"/>
      <c r="H65" s="48">
        <f t="shared" si="2"/>
        <v>0</v>
      </c>
      <c r="I65" s="55">
        <f t="shared" si="3"/>
        <v>65400</v>
      </c>
      <c r="J65" s="56">
        <f t="shared" si="4"/>
        <v>344399.9</v>
      </c>
      <c r="K65" s="57">
        <f t="shared" si="5"/>
        <v>526.6053516819572</v>
      </c>
      <c r="L65" s="130"/>
      <c r="M65" s="3"/>
      <c r="N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s="72" customFormat="1" ht="47.25" customHeight="1">
      <c r="A66" s="66" t="s">
        <v>61</v>
      </c>
      <c r="B66" s="67" t="s">
        <v>62</v>
      </c>
      <c r="C66" s="24">
        <v>65400</v>
      </c>
      <c r="D66" s="24">
        <v>344399.9</v>
      </c>
      <c r="E66" s="50">
        <f t="shared" si="1"/>
        <v>526.6053516819572</v>
      </c>
      <c r="F66" s="24"/>
      <c r="G66" s="24"/>
      <c r="H66" s="50">
        <f t="shared" si="2"/>
        <v>0</v>
      </c>
      <c r="I66" s="68">
        <f t="shared" si="3"/>
        <v>65400</v>
      </c>
      <c r="J66" s="69">
        <f t="shared" si="4"/>
        <v>344399.9</v>
      </c>
      <c r="K66" s="70">
        <f t="shared" si="5"/>
        <v>526.6053516819572</v>
      </c>
      <c r="L66" s="130"/>
      <c r="M66" s="71"/>
      <c r="N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4" customFormat="1" ht="27" customHeight="1">
      <c r="A67" s="18">
        <v>21050000</v>
      </c>
      <c r="B67" s="5" t="s">
        <v>122</v>
      </c>
      <c r="C67" s="1">
        <v>6000000</v>
      </c>
      <c r="D67" s="1">
        <v>3505044.33</v>
      </c>
      <c r="E67" s="48">
        <f t="shared" si="1"/>
        <v>58.417405499999994</v>
      </c>
      <c r="F67" s="1"/>
      <c r="G67" s="1"/>
      <c r="H67" s="48">
        <f t="shared" si="2"/>
        <v>0</v>
      </c>
      <c r="I67" s="55">
        <f t="shared" si="3"/>
        <v>6000000</v>
      </c>
      <c r="J67" s="56">
        <f t="shared" si="4"/>
        <v>3505044.33</v>
      </c>
      <c r="K67" s="57">
        <f t="shared" si="5"/>
        <v>58.417405499999994</v>
      </c>
      <c r="L67" s="130"/>
      <c r="M67" s="3"/>
      <c r="N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s="4" customFormat="1" ht="15" customHeight="1">
      <c r="A68" s="18" t="s">
        <v>63</v>
      </c>
      <c r="B68" s="5" t="s">
        <v>64</v>
      </c>
      <c r="C68" s="1">
        <f>C71+C70+C69+C72+C73</f>
        <v>2041225</v>
      </c>
      <c r="D68" s="1">
        <f>D71+D70+D69+D72+D73</f>
        <v>2012830.7</v>
      </c>
      <c r="E68" s="48">
        <f t="shared" si="1"/>
        <v>98.60895785618929</v>
      </c>
      <c r="F68" s="1"/>
      <c r="G68" s="1"/>
      <c r="H68" s="48">
        <f t="shared" si="2"/>
        <v>0</v>
      </c>
      <c r="I68" s="55">
        <f t="shared" si="3"/>
        <v>2041225</v>
      </c>
      <c r="J68" s="56">
        <f t="shared" si="4"/>
        <v>2012830.7</v>
      </c>
      <c r="K68" s="57">
        <f t="shared" si="5"/>
        <v>98.60895785618929</v>
      </c>
      <c r="L68" s="130"/>
      <c r="M68" s="3"/>
      <c r="N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s="4" customFormat="1" ht="15" customHeight="1" hidden="1">
      <c r="A69" s="18">
        <v>21080500</v>
      </c>
      <c r="B69" s="5" t="s">
        <v>68</v>
      </c>
      <c r="C69" s="1"/>
      <c r="D69" s="1"/>
      <c r="E69" s="48">
        <f t="shared" si="1"/>
        <v>0</v>
      </c>
      <c r="F69" s="1"/>
      <c r="G69" s="1"/>
      <c r="H69" s="48">
        <f t="shared" si="2"/>
        <v>0</v>
      </c>
      <c r="I69" s="55">
        <f t="shared" si="3"/>
        <v>0</v>
      </c>
      <c r="J69" s="56">
        <f t="shared" si="4"/>
        <v>0</v>
      </c>
      <c r="K69" s="57">
        <f t="shared" si="5"/>
        <v>0</v>
      </c>
      <c r="L69" s="130"/>
      <c r="M69" s="3"/>
      <c r="N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s="4" customFormat="1" ht="63.75" customHeight="1" hidden="1">
      <c r="A70" s="18">
        <v>21080900</v>
      </c>
      <c r="B70" s="5" t="s">
        <v>65</v>
      </c>
      <c r="C70" s="1"/>
      <c r="D70" s="1"/>
      <c r="E70" s="48">
        <f t="shared" si="1"/>
        <v>0</v>
      </c>
      <c r="F70" s="1"/>
      <c r="G70" s="1"/>
      <c r="H70" s="48">
        <f t="shared" si="2"/>
        <v>0</v>
      </c>
      <c r="I70" s="55">
        <f t="shared" si="3"/>
        <v>0</v>
      </c>
      <c r="J70" s="56">
        <f t="shared" si="4"/>
        <v>0</v>
      </c>
      <c r="K70" s="57">
        <f t="shared" si="5"/>
        <v>0</v>
      </c>
      <c r="L70" s="130"/>
      <c r="M70" s="3"/>
      <c r="N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4" customFormat="1" ht="15" customHeight="1">
      <c r="A71" s="18" t="s">
        <v>66</v>
      </c>
      <c r="B71" s="5" t="s">
        <v>67</v>
      </c>
      <c r="C71" s="1">
        <f>1002000+650100</f>
        <v>1652100</v>
      </c>
      <c r="D71" s="1">
        <v>1638851.38</v>
      </c>
      <c r="E71" s="48">
        <f t="shared" si="1"/>
        <v>99.19807396646692</v>
      </c>
      <c r="F71" s="1"/>
      <c r="G71" s="1"/>
      <c r="H71" s="48">
        <f t="shared" si="2"/>
        <v>0</v>
      </c>
      <c r="I71" s="55">
        <f t="shared" si="3"/>
        <v>1652100</v>
      </c>
      <c r="J71" s="56">
        <f t="shared" si="4"/>
        <v>1638851.38</v>
      </c>
      <c r="K71" s="57">
        <f t="shared" si="5"/>
        <v>99.19807396646692</v>
      </c>
      <c r="L71" s="130"/>
      <c r="M71" s="3"/>
      <c r="N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72" customFormat="1" ht="60">
      <c r="A72" s="66">
        <v>21081500</v>
      </c>
      <c r="B72" s="67" t="s">
        <v>121</v>
      </c>
      <c r="C72" s="24">
        <f>450000-70000</f>
        <v>380000</v>
      </c>
      <c r="D72" s="24">
        <v>364853.57</v>
      </c>
      <c r="E72" s="50">
        <f t="shared" si="1"/>
        <v>96.01409736842106</v>
      </c>
      <c r="F72" s="24"/>
      <c r="G72" s="24"/>
      <c r="H72" s="50">
        <f t="shared" si="2"/>
        <v>0</v>
      </c>
      <c r="I72" s="68">
        <f t="shared" si="3"/>
        <v>380000</v>
      </c>
      <c r="J72" s="69">
        <f t="shared" si="4"/>
        <v>364853.57</v>
      </c>
      <c r="K72" s="70">
        <f t="shared" si="5"/>
        <v>96.01409736842106</v>
      </c>
      <c r="L72" s="130"/>
      <c r="M72" s="71"/>
      <c r="N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2" customFormat="1" ht="15" customHeight="1">
      <c r="A73" s="66">
        <v>21081700</v>
      </c>
      <c r="B73" s="67" t="s">
        <v>158</v>
      </c>
      <c r="C73" s="24">
        <f>8300+825</f>
        <v>9125</v>
      </c>
      <c r="D73" s="24">
        <v>9125.75</v>
      </c>
      <c r="E73" s="50">
        <f t="shared" si="1"/>
        <v>100.0082191780822</v>
      </c>
      <c r="F73" s="24"/>
      <c r="G73" s="24"/>
      <c r="H73" s="50">
        <f t="shared" si="2"/>
        <v>0</v>
      </c>
      <c r="I73" s="68">
        <f t="shared" si="3"/>
        <v>9125</v>
      </c>
      <c r="J73" s="69">
        <f t="shared" si="4"/>
        <v>9125.75</v>
      </c>
      <c r="K73" s="70">
        <f t="shared" si="5"/>
        <v>100.0082191780822</v>
      </c>
      <c r="L73" s="130"/>
      <c r="M73" s="71"/>
      <c r="N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2" customFormat="1" ht="45">
      <c r="A74" s="66">
        <v>21110000</v>
      </c>
      <c r="B74" s="67" t="s">
        <v>186</v>
      </c>
      <c r="C74" s="24"/>
      <c r="D74" s="24"/>
      <c r="E74" s="50">
        <f t="shared" si="1"/>
        <v>0</v>
      </c>
      <c r="F74" s="24">
        <v>36360</v>
      </c>
      <c r="G74" s="24">
        <v>36360</v>
      </c>
      <c r="H74" s="50">
        <f t="shared" si="2"/>
        <v>100</v>
      </c>
      <c r="I74" s="68">
        <f t="shared" si="3"/>
        <v>36360</v>
      </c>
      <c r="J74" s="69">
        <f t="shared" si="4"/>
        <v>36360</v>
      </c>
      <c r="K74" s="70">
        <f t="shared" si="5"/>
        <v>100</v>
      </c>
      <c r="L74" s="130"/>
      <c r="M74" s="71"/>
      <c r="N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28" customFormat="1" ht="28.5">
      <c r="A75" s="25">
        <v>22000000</v>
      </c>
      <c r="B75" s="26" t="s">
        <v>8</v>
      </c>
      <c r="C75" s="15">
        <f>C81+C83+C76</f>
        <v>45044607</v>
      </c>
      <c r="D75" s="15">
        <f>D81+D83+D76</f>
        <v>45481831.55</v>
      </c>
      <c r="E75" s="47">
        <f t="shared" si="1"/>
        <v>100.97064794016295</v>
      </c>
      <c r="F75" s="15"/>
      <c r="G75" s="15"/>
      <c r="H75" s="47">
        <f t="shared" si="2"/>
        <v>0</v>
      </c>
      <c r="I75" s="61">
        <f t="shared" si="3"/>
        <v>45044607</v>
      </c>
      <c r="J75" s="62">
        <f t="shared" si="4"/>
        <v>45481831.55</v>
      </c>
      <c r="K75" s="63">
        <f t="shared" si="5"/>
        <v>100.97064794016295</v>
      </c>
      <c r="L75" s="130"/>
      <c r="M75" s="27"/>
      <c r="N75" s="27"/>
      <c r="IM75" s="27"/>
      <c r="IN75" s="27"/>
      <c r="IO75" s="27"/>
      <c r="IP75" s="27"/>
      <c r="IQ75" s="27"/>
      <c r="IR75" s="27"/>
      <c r="IS75" s="27"/>
      <c r="IT75" s="27"/>
      <c r="IU75" s="27"/>
    </row>
    <row r="76" spans="1:255" s="28" customFormat="1" ht="18" customHeight="1">
      <c r="A76" s="73" t="s">
        <v>116</v>
      </c>
      <c r="B76" s="26" t="s">
        <v>117</v>
      </c>
      <c r="C76" s="15">
        <f>C78+C77+C79+C80</f>
        <v>20754607</v>
      </c>
      <c r="D76" s="15">
        <f>D78+D77+D79+D80</f>
        <v>20902903.259999998</v>
      </c>
      <c r="E76" s="47">
        <f t="shared" si="1"/>
        <v>100.71452212995409</v>
      </c>
      <c r="F76" s="15"/>
      <c r="G76" s="15"/>
      <c r="H76" s="47">
        <f t="shared" si="2"/>
        <v>0</v>
      </c>
      <c r="I76" s="61">
        <f t="shared" si="3"/>
        <v>20754607</v>
      </c>
      <c r="J76" s="62">
        <f t="shared" si="4"/>
        <v>20902903.259999998</v>
      </c>
      <c r="K76" s="63">
        <f t="shared" si="5"/>
        <v>100.71452212995409</v>
      </c>
      <c r="L76" s="130"/>
      <c r="M76" s="27"/>
      <c r="N76" s="27"/>
      <c r="IM76" s="27"/>
      <c r="IN76" s="27"/>
      <c r="IO76" s="27"/>
      <c r="IP76" s="27"/>
      <c r="IQ76" s="27"/>
      <c r="IR76" s="27"/>
      <c r="IS76" s="27"/>
      <c r="IT76" s="27"/>
      <c r="IU76" s="27"/>
    </row>
    <row r="77" spans="1:255" s="72" customFormat="1" ht="44.25" customHeight="1">
      <c r="A77" s="74">
        <v>22010300</v>
      </c>
      <c r="B77" s="75" t="s">
        <v>123</v>
      </c>
      <c r="C77" s="24">
        <f>806600+363400</f>
        <v>1170000</v>
      </c>
      <c r="D77" s="24">
        <v>1205913.2</v>
      </c>
      <c r="E77" s="50">
        <f aca="true" t="shared" si="6" ref="E77:E140">_xlfn.IFERROR(D77/C77*100,0)</f>
        <v>103.06950427350428</v>
      </c>
      <c r="F77" s="24"/>
      <c r="G77" s="24"/>
      <c r="H77" s="50">
        <f aca="true" t="shared" si="7" ref="H77:H140">_xlfn.IFERROR(G77/F77*100,0)</f>
        <v>0</v>
      </c>
      <c r="I77" s="68">
        <f t="shared" si="3"/>
        <v>1170000</v>
      </c>
      <c r="J77" s="69">
        <f t="shared" si="4"/>
        <v>1205913.2</v>
      </c>
      <c r="K77" s="70">
        <f t="shared" si="5"/>
        <v>103.06950427350428</v>
      </c>
      <c r="L77" s="130"/>
      <c r="M77" s="71"/>
      <c r="N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2" customFormat="1" ht="24" customHeight="1">
      <c r="A78" s="66">
        <v>22012500</v>
      </c>
      <c r="B78" s="67" t="s">
        <v>118</v>
      </c>
      <c r="C78" s="24">
        <f>20895900-3353293</f>
        <v>17542607</v>
      </c>
      <c r="D78" s="24">
        <v>17618549.49</v>
      </c>
      <c r="E78" s="50">
        <f t="shared" si="6"/>
        <v>100.43290310271442</v>
      </c>
      <c r="F78" s="24"/>
      <c r="G78" s="24"/>
      <c r="H78" s="50">
        <f t="shared" si="7"/>
        <v>0</v>
      </c>
      <c r="I78" s="68">
        <f t="shared" si="3"/>
        <v>17542607</v>
      </c>
      <c r="J78" s="69">
        <f t="shared" si="4"/>
        <v>17618549.49</v>
      </c>
      <c r="K78" s="70">
        <f t="shared" si="5"/>
        <v>100.43290310271442</v>
      </c>
      <c r="L78" s="130"/>
      <c r="M78" s="71"/>
      <c r="N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2" customFormat="1" ht="35.25" customHeight="1">
      <c r="A79" s="66">
        <v>22012600</v>
      </c>
      <c r="B79" s="75" t="s">
        <v>124</v>
      </c>
      <c r="C79" s="24">
        <v>1962000</v>
      </c>
      <c r="D79" s="24">
        <v>1996420.57</v>
      </c>
      <c r="E79" s="50">
        <f t="shared" si="6"/>
        <v>101.7543613659531</v>
      </c>
      <c r="F79" s="24"/>
      <c r="G79" s="24"/>
      <c r="H79" s="50">
        <f t="shared" si="7"/>
        <v>0</v>
      </c>
      <c r="I79" s="68">
        <f aca="true" t="shared" si="8" ref="I79:I142">C79+F79</f>
        <v>1962000</v>
      </c>
      <c r="J79" s="69">
        <f aca="true" t="shared" si="9" ref="J79:J142">D79+G79</f>
        <v>1996420.57</v>
      </c>
      <c r="K79" s="70">
        <f aca="true" t="shared" si="10" ref="K79:K142">_xlfn.IFERROR(J79/I79*100,0)</f>
        <v>101.7543613659531</v>
      </c>
      <c r="L79" s="130"/>
      <c r="M79" s="71"/>
      <c r="N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2" customFormat="1" ht="90" customHeight="1">
      <c r="A80" s="66">
        <v>22012900</v>
      </c>
      <c r="B80" s="75" t="s">
        <v>125</v>
      </c>
      <c r="C80" s="24">
        <f>100000-20000</f>
        <v>80000</v>
      </c>
      <c r="D80" s="24">
        <v>82020</v>
      </c>
      <c r="E80" s="50">
        <f t="shared" si="6"/>
        <v>102.525</v>
      </c>
      <c r="F80" s="24"/>
      <c r="G80" s="24"/>
      <c r="H80" s="50">
        <f t="shared" si="7"/>
        <v>0</v>
      </c>
      <c r="I80" s="68">
        <f t="shared" si="8"/>
        <v>80000</v>
      </c>
      <c r="J80" s="69">
        <f t="shared" si="9"/>
        <v>82020</v>
      </c>
      <c r="K80" s="70">
        <f t="shared" si="10"/>
        <v>102.525</v>
      </c>
      <c r="L80" s="130"/>
      <c r="M80" s="71"/>
      <c r="N80" s="71"/>
      <c r="IM80" s="71"/>
      <c r="IN80" s="71"/>
      <c r="IO80" s="71"/>
      <c r="IP80" s="71"/>
      <c r="IQ80" s="71"/>
      <c r="IR80" s="71"/>
      <c r="IS80" s="71"/>
      <c r="IT80" s="71"/>
      <c r="IU80" s="71"/>
    </row>
    <row r="81" spans="1:255" s="28" customFormat="1" ht="42.75">
      <c r="A81" s="25" t="s">
        <v>69</v>
      </c>
      <c r="B81" s="26" t="s">
        <v>70</v>
      </c>
      <c r="C81" s="15">
        <f>C82</f>
        <v>23600000</v>
      </c>
      <c r="D81" s="15">
        <f>D82</f>
        <v>23905905.09</v>
      </c>
      <c r="E81" s="47">
        <f t="shared" si="6"/>
        <v>101.2962080084746</v>
      </c>
      <c r="F81" s="15"/>
      <c r="G81" s="15"/>
      <c r="H81" s="47">
        <f t="shared" si="7"/>
        <v>0</v>
      </c>
      <c r="I81" s="61">
        <f t="shared" si="8"/>
        <v>23600000</v>
      </c>
      <c r="J81" s="62">
        <f t="shared" si="9"/>
        <v>23905905.09</v>
      </c>
      <c r="K81" s="63">
        <f t="shared" si="10"/>
        <v>101.2962080084746</v>
      </c>
      <c r="L81" s="130"/>
      <c r="M81" s="27"/>
      <c r="N81" s="27"/>
      <c r="IM81" s="27"/>
      <c r="IN81" s="27"/>
      <c r="IO81" s="27"/>
      <c r="IP81" s="27"/>
      <c r="IQ81" s="27"/>
      <c r="IR81" s="27"/>
      <c r="IS81" s="27"/>
      <c r="IT81" s="27"/>
      <c r="IU81" s="27"/>
    </row>
    <row r="82" spans="1:255" s="72" customFormat="1" ht="48.75" customHeight="1">
      <c r="A82" s="66" t="s">
        <v>71</v>
      </c>
      <c r="B82" s="67" t="s">
        <v>72</v>
      </c>
      <c r="C82" s="24">
        <f>20000000+3600000</f>
        <v>23600000</v>
      </c>
      <c r="D82" s="24">
        <v>23905905.09</v>
      </c>
      <c r="E82" s="50">
        <f t="shared" si="6"/>
        <v>101.2962080084746</v>
      </c>
      <c r="F82" s="24"/>
      <c r="G82" s="24"/>
      <c r="H82" s="50">
        <f t="shared" si="7"/>
        <v>0</v>
      </c>
      <c r="I82" s="68">
        <f t="shared" si="8"/>
        <v>23600000</v>
      </c>
      <c r="J82" s="69">
        <f t="shared" si="9"/>
        <v>23905905.09</v>
      </c>
      <c r="K82" s="70">
        <f t="shared" si="10"/>
        <v>101.2962080084746</v>
      </c>
      <c r="L82" s="130"/>
      <c r="M82" s="71"/>
      <c r="N82" s="71"/>
      <c r="IM82" s="71"/>
      <c r="IN82" s="71"/>
      <c r="IO82" s="71"/>
      <c r="IP82" s="71"/>
      <c r="IQ82" s="71"/>
      <c r="IR82" s="71"/>
      <c r="IS82" s="71"/>
      <c r="IT82" s="71"/>
      <c r="IU82" s="71"/>
    </row>
    <row r="83" spans="1:255" s="28" customFormat="1" ht="15" customHeight="1">
      <c r="A83" s="25" t="s">
        <v>73</v>
      </c>
      <c r="B83" s="26" t="s">
        <v>74</v>
      </c>
      <c r="C83" s="12">
        <f>C84+C85+C86+C87</f>
        <v>690000</v>
      </c>
      <c r="D83" s="12">
        <f>D84+D85+D86+D87</f>
        <v>673023.2</v>
      </c>
      <c r="E83" s="49">
        <f t="shared" si="6"/>
        <v>97.53959420289854</v>
      </c>
      <c r="F83" s="15"/>
      <c r="G83" s="15"/>
      <c r="H83" s="47">
        <f t="shared" si="7"/>
        <v>0</v>
      </c>
      <c r="I83" s="61">
        <f t="shared" si="8"/>
        <v>690000</v>
      </c>
      <c r="J83" s="62">
        <f t="shared" si="9"/>
        <v>673023.2</v>
      </c>
      <c r="K83" s="63">
        <f t="shared" si="10"/>
        <v>97.53959420289854</v>
      </c>
      <c r="L83" s="130"/>
      <c r="M83" s="27"/>
      <c r="N83" s="27"/>
      <c r="IM83" s="27"/>
      <c r="IN83" s="27"/>
      <c r="IO83" s="27"/>
      <c r="IP83" s="27"/>
      <c r="IQ83" s="27"/>
      <c r="IR83" s="27"/>
      <c r="IS83" s="27"/>
      <c r="IT83" s="27"/>
      <c r="IU83" s="27"/>
    </row>
    <row r="84" spans="1:255" s="72" customFormat="1" ht="45" customHeight="1">
      <c r="A84" s="66" t="s">
        <v>75</v>
      </c>
      <c r="B84" s="67" t="s">
        <v>76</v>
      </c>
      <c r="C84" s="24">
        <f>250000+70700</f>
        <v>320700</v>
      </c>
      <c r="D84" s="24">
        <v>318038.12</v>
      </c>
      <c r="E84" s="50">
        <f t="shared" si="6"/>
        <v>99.16997817274712</v>
      </c>
      <c r="F84" s="24"/>
      <c r="G84" s="24"/>
      <c r="H84" s="50">
        <f t="shared" si="7"/>
        <v>0</v>
      </c>
      <c r="I84" s="68">
        <f t="shared" si="8"/>
        <v>320700</v>
      </c>
      <c r="J84" s="69">
        <f t="shared" si="9"/>
        <v>318038.12</v>
      </c>
      <c r="K84" s="70">
        <f t="shared" si="10"/>
        <v>99.16997817274712</v>
      </c>
      <c r="L84" s="130"/>
      <c r="M84" s="71"/>
      <c r="N84" s="71"/>
      <c r="IM84" s="71"/>
      <c r="IN84" s="71"/>
      <c r="IO84" s="71"/>
      <c r="IP84" s="71"/>
      <c r="IQ84" s="71"/>
      <c r="IR84" s="71"/>
      <c r="IS84" s="71"/>
      <c r="IT84" s="71"/>
      <c r="IU84" s="71"/>
    </row>
    <row r="85" spans="1:255" s="72" customFormat="1" ht="22.5" customHeight="1">
      <c r="A85" s="66">
        <v>22090200</v>
      </c>
      <c r="B85" s="67" t="s">
        <v>119</v>
      </c>
      <c r="C85" s="24">
        <f>574</f>
        <v>574</v>
      </c>
      <c r="D85" s="24">
        <v>574.01</v>
      </c>
      <c r="E85" s="50">
        <f t="shared" si="6"/>
        <v>100.00174216027875</v>
      </c>
      <c r="F85" s="24"/>
      <c r="G85" s="24"/>
      <c r="H85" s="50">
        <f t="shared" si="7"/>
        <v>0</v>
      </c>
      <c r="I85" s="68">
        <f t="shared" si="8"/>
        <v>574</v>
      </c>
      <c r="J85" s="69">
        <f t="shared" si="9"/>
        <v>574.01</v>
      </c>
      <c r="K85" s="70">
        <f t="shared" si="10"/>
        <v>100.00174216027875</v>
      </c>
      <c r="L85" s="130"/>
      <c r="M85" s="71"/>
      <c r="N85" s="71"/>
      <c r="IM85" s="71"/>
      <c r="IN85" s="71"/>
      <c r="IO85" s="71"/>
      <c r="IP85" s="71"/>
      <c r="IQ85" s="71"/>
      <c r="IR85" s="71"/>
      <c r="IS85" s="71"/>
      <c r="IT85" s="71"/>
      <c r="IU85" s="71"/>
    </row>
    <row r="86" spans="1:255" s="72" customFormat="1" ht="45" customHeight="1" hidden="1">
      <c r="A86" s="66">
        <v>22090300</v>
      </c>
      <c r="B86" s="67" t="s">
        <v>120</v>
      </c>
      <c r="C86" s="24"/>
      <c r="D86" s="24"/>
      <c r="E86" s="50">
        <f t="shared" si="6"/>
        <v>0</v>
      </c>
      <c r="F86" s="24"/>
      <c r="G86" s="24"/>
      <c r="H86" s="50">
        <f t="shared" si="7"/>
        <v>0</v>
      </c>
      <c r="I86" s="68">
        <f t="shared" si="8"/>
        <v>0</v>
      </c>
      <c r="J86" s="69">
        <f t="shared" si="9"/>
        <v>0</v>
      </c>
      <c r="K86" s="70">
        <f t="shared" si="10"/>
        <v>0</v>
      </c>
      <c r="L86" s="130"/>
      <c r="M86" s="71"/>
      <c r="N86" s="71"/>
      <c r="IM86" s="71"/>
      <c r="IN86" s="71"/>
      <c r="IO86" s="71"/>
      <c r="IP86" s="71"/>
      <c r="IQ86" s="71"/>
      <c r="IR86" s="71"/>
      <c r="IS86" s="71"/>
      <c r="IT86" s="71"/>
      <c r="IU86" s="71"/>
    </row>
    <row r="87" spans="1:255" s="72" customFormat="1" ht="45" customHeight="1">
      <c r="A87" s="66" t="s">
        <v>77</v>
      </c>
      <c r="B87" s="67" t="s">
        <v>78</v>
      </c>
      <c r="C87" s="24">
        <f>230000+138726</f>
        <v>368726</v>
      </c>
      <c r="D87" s="24">
        <v>354411.07</v>
      </c>
      <c r="E87" s="50">
        <f t="shared" si="6"/>
        <v>96.11773240834658</v>
      </c>
      <c r="F87" s="24"/>
      <c r="G87" s="24"/>
      <c r="H87" s="50">
        <f t="shared" si="7"/>
        <v>0</v>
      </c>
      <c r="I87" s="68">
        <f t="shared" si="8"/>
        <v>368726</v>
      </c>
      <c r="J87" s="69">
        <f t="shared" si="9"/>
        <v>354411.07</v>
      </c>
      <c r="K87" s="70">
        <f t="shared" si="10"/>
        <v>96.11773240834658</v>
      </c>
      <c r="L87" s="130"/>
      <c r="M87" s="71"/>
      <c r="N87" s="71"/>
      <c r="IM87" s="71"/>
      <c r="IN87" s="71"/>
      <c r="IO87" s="71"/>
      <c r="IP87" s="71"/>
      <c r="IQ87" s="71"/>
      <c r="IR87" s="71"/>
      <c r="IS87" s="71"/>
      <c r="IT87" s="71"/>
      <c r="IU87" s="71"/>
    </row>
    <row r="88" spans="1:255" s="28" customFormat="1" ht="15" customHeight="1">
      <c r="A88" s="25">
        <v>24000000</v>
      </c>
      <c r="B88" s="26" t="s">
        <v>11</v>
      </c>
      <c r="C88" s="15">
        <f>C89+C90</f>
        <v>2940370</v>
      </c>
      <c r="D88" s="15">
        <f>D89+D90</f>
        <v>2862874.66</v>
      </c>
      <c r="E88" s="47">
        <f t="shared" si="6"/>
        <v>97.36443576828768</v>
      </c>
      <c r="F88" s="15">
        <f>F90+F96+F99</f>
        <v>6731706</v>
      </c>
      <c r="G88" s="15">
        <f>G90+G96+G99</f>
        <v>7848489.99</v>
      </c>
      <c r="H88" s="47">
        <f t="shared" si="7"/>
        <v>116.58991034367811</v>
      </c>
      <c r="I88" s="61">
        <f t="shared" si="8"/>
        <v>9672076</v>
      </c>
      <c r="J88" s="62">
        <f t="shared" si="9"/>
        <v>10711364.65</v>
      </c>
      <c r="K88" s="63">
        <f t="shared" si="10"/>
        <v>110.74524900341976</v>
      </c>
      <c r="L88" s="130"/>
      <c r="M88" s="27"/>
      <c r="N88" s="27"/>
      <c r="IM88" s="27"/>
      <c r="IN88" s="27"/>
      <c r="IO88" s="27"/>
      <c r="IP88" s="27"/>
      <c r="IQ88" s="27"/>
      <c r="IR88" s="27"/>
      <c r="IS88" s="27"/>
      <c r="IT88" s="27"/>
      <c r="IU88" s="27"/>
    </row>
    <row r="89" spans="1:255" s="72" customFormat="1" ht="60">
      <c r="A89" s="66" t="s">
        <v>79</v>
      </c>
      <c r="B89" s="67" t="s">
        <v>80</v>
      </c>
      <c r="C89" s="24"/>
      <c r="D89" s="24">
        <f>21.37</f>
        <v>21.37</v>
      </c>
      <c r="E89" s="50">
        <f t="shared" si="6"/>
        <v>0</v>
      </c>
      <c r="F89" s="24"/>
      <c r="G89" s="24"/>
      <c r="H89" s="50">
        <f t="shared" si="7"/>
        <v>0</v>
      </c>
      <c r="I89" s="68">
        <f t="shared" si="8"/>
        <v>0</v>
      </c>
      <c r="J89" s="69">
        <f t="shared" si="9"/>
        <v>21.37</v>
      </c>
      <c r="K89" s="70">
        <f t="shared" si="10"/>
        <v>0</v>
      </c>
      <c r="L89" s="130"/>
      <c r="M89" s="71"/>
      <c r="N89" s="71"/>
      <c r="IM89" s="71"/>
      <c r="IN89" s="71"/>
      <c r="IO89" s="71"/>
      <c r="IP89" s="71"/>
      <c r="IQ89" s="71"/>
      <c r="IR89" s="71"/>
      <c r="IS89" s="71"/>
      <c r="IT89" s="71"/>
      <c r="IU89" s="71"/>
    </row>
    <row r="90" spans="1:255" s="28" customFormat="1" ht="15" customHeight="1">
      <c r="A90" s="25" t="s">
        <v>81</v>
      </c>
      <c r="B90" s="26" t="s">
        <v>64</v>
      </c>
      <c r="C90" s="15">
        <f>C91+C92+C94+C93+C95</f>
        <v>2940370</v>
      </c>
      <c r="D90" s="15">
        <f>D91+D92+D94+D93+D95</f>
        <v>2862853.29</v>
      </c>
      <c r="E90" s="47">
        <f t="shared" si="6"/>
        <v>97.36370898900478</v>
      </c>
      <c r="F90" s="15">
        <f>F92+F94</f>
        <v>300000</v>
      </c>
      <c r="G90" s="15">
        <f>G92+G94</f>
        <v>328472.7</v>
      </c>
      <c r="H90" s="47">
        <f t="shared" si="7"/>
        <v>109.49090000000001</v>
      </c>
      <c r="I90" s="61">
        <f t="shared" si="8"/>
        <v>3240370</v>
      </c>
      <c r="J90" s="62">
        <f t="shared" si="9"/>
        <v>3191325.99</v>
      </c>
      <c r="K90" s="63">
        <f t="shared" si="10"/>
        <v>98.48646882917691</v>
      </c>
      <c r="L90" s="130"/>
      <c r="M90" s="27"/>
      <c r="N90" s="27"/>
      <c r="IM90" s="27"/>
      <c r="IN90" s="27"/>
      <c r="IO90" s="27"/>
      <c r="IP90" s="27"/>
      <c r="IQ90" s="27"/>
      <c r="IR90" s="27"/>
      <c r="IS90" s="27"/>
      <c r="IT90" s="27"/>
      <c r="IU90" s="27"/>
    </row>
    <row r="91" spans="1:255" s="72" customFormat="1" ht="15" customHeight="1">
      <c r="A91" s="66" t="s">
        <v>82</v>
      </c>
      <c r="B91" s="67" t="s">
        <v>64</v>
      </c>
      <c r="C91" s="24">
        <f>2693700+246670</f>
        <v>2940370</v>
      </c>
      <c r="D91" s="24">
        <v>2887035.18</v>
      </c>
      <c r="E91" s="50">
        <f t="shared" si="6"/>
        <v>98.18611875376229</v>
      </c>
      <c r="F91" s="24"/>
      <c r="G91" s="24"/>
      <c r="H91" s="50">
        <f t="shared" si="7"/>
        <v>0</v>
      </c>
      <c r="I91" s="68">
        <f t="shared" si="8"/>
        <v>2940370</v>
      </c>
      <c r="J91" s="69">
        <f t="shared" si="9"/>
        <v>2887035.18</v>
      </c>
      <c r="K91" s="70">
        <f t="shared" si="10"/>
        <v>98.18611875376229</v>
      </c>
      <c r="L91" s="130"/>
      <c r="M91" s="71"/>
      <c r="N91" s="71"/>
      <c r="IM91" s="71"/>
      <c r="IN91" s="71"/>
      <c r="IO91" s="71"/>
      <c r="IP91" s="71"/>
      <c r="IQ91" s="71"/>
      <c r="IR91" s="71"/>
      <c r="IS91" s="71"/>
      <c r="IT91" s="71"/>
      <c r="IU91" s="71"/>
    </row>
    <row r="92" spans="1:255" s="72" customFormat="1" ht="30">
      <c r="A92" s="66">
        <v>24061600</v>
      </c>
      <c r="B92" s="67" t="s">
        <v>83</v>
      </c>
      <c r="C92" s="24"/>
      <c r="D92" s="24"/>
      <c r="E92" s="50">
        <f t="shared" si="6"/>
        <v>0</v>
      </c>
      <c r="F92" s="24">
        <v>250000</v>
      </c>
      <c r="G92" s="24">
        <v>300000</v>
      </c>
      <c r="H92" s="50">
        <f t="shared" si="7"/>
        <v>120</v>
      </c>
      <c r="I92" s="68">
        <f t="shared" si="8"/>
        <v>250000</v>
      </c>
      <c r="J92" s="69">
        <f t="shared" si="9"/>
        <v>300000</v>
      </c>
      <c r="K92" s="70">
        <f t="shared" si="10"/>
        <v>120</v>
      </c>
      <c r="L92" s="130"/>
      <c r="M92" s="71"/>
      <c r="N92" s="71"/>
      <c r="IM92" s="71"/>
      <c r="IN92" s="71"/>
      <c r="IO92" s="71"/>
      <c r="IP92" s="71"/>
      <c r="IQ92" s="71"/>
      <c r="IR92" s="71"/>
      <c r="IS92" s="71"/>
      <c r="IT92" s="71"/>
      <c r="IU92" s="71"/>
    </row>
    <row r="93" spans="1:255" s="72" customFormat="1" ht="60" customHeight="1" hidden="1">
      <c r="A93" s="66">
        <v>24061900</v>
      </c>
      <c r="B93" s="67" t="s">
        <v>159</v>
      </c>
      <c r="C93" s="24"/>
      <c r="D93" s="24"/>
      <c r="E93" s="50">
        <f t="shared" si="6"/>
        <v>0</v>
      </c>
      <c r="F93" s="24"/>
      <c r="G93" s="24">
        <v>300000</v>
      </c>
      <c r="H93" s="50">
        <f t="shared" si="7"/>
        <v>0</v>
      </c>
      <c r="I93" s="68">
        <f t="shared" si="8"/>
        <v>0</v>
      </c>
      <c r="J93" s="69">
        <f t="shared" si="9"/>
        <v>300000</v>
      </c>
      <c r="K93" s="70">
        <f t="shared" si="10"/>
        <v>0</v>
      </c>
      <c r="L93" s="130"/>
      <c r="M93" s="71"/>
      <c r="N93" s="71"/>
      <c r="IM93" s="71"/>
      <c r="IN93" s="71"/>
      <c r="IO93" s="71"/>
      <c r="IP93" s="71"/>
      <c r="IQ93" s="71"/>
      <c r="IR93" s="71"/>
      <c r="IS93" s="71"/>
      <c r="IT93" s="71"/>
      <c r="IU93" s="71"/>
    </row>
    <row r="94" spans="1:255" s="72" customFormat="1" ht="45" customHeight="1">
      <c r="A94" s="66" t="s">
        <v>84</v>
      </c>
      <c r="B94" s="67" t="s">
        <v>85</v>
      </c>
      <c r="C94" s="24"/>
      <c r="D94" s="24"/>
      <c r="E94" s="50">
        <f t="shared" si="6"/>
        <v>0</v>
      </c>
      <c r="F94" s="24">
        <v>50000</v>
      </c>
      <c r="G94" s="24">
        <v>28472.7</v>
      </c>
      <c r="H94" s="50">
        <f t="shared" si="7"/>
        <v>56.9454</v>
      </c>
      <c r="I94" s="68">
        <f t="shared" si="8"/>
        <v>50000</v>
      </c>
      <c r="J94" s="69">
        <f t="shared" si="9"/>
        <v>28472.7</v>
      </c>
      <c r="K94" s="70">
        <f t="shared" si="10"/>
        <v>56.9454</v>
      </c>
      <c r="L94" s="130"/>
      <c r="M94" s="71"/>
      <c r="N94" s="71"/>
      <c r="IM94" s="71"/>
      <c r="IN94" s="71"/>
      <c r="IO94" s="71"/>
      <c r="IP94" s="71"/>
      <c r="IQ94" s="71"/>
      <c r="IR94" s="71"/>
      <c r="IS94" s="71"/>
      <c r="IT94" s="71"/>
      <c r="IU94" s="71"/>
    </row>
    <row r="95" spans="1:255" s="72" customFormat="1" ht="144.75" customHeight="1">
      <c r="A95" s="66">
        <v>24062200</v>
      </c>
      <c r="B95" s="67" t="s">
        <v>160</v>
      </c>
      <c r="C95" s="24"/>
      <c r="D95" s="24">
        <v>-24181.89</v>
      </c>
      <c r="E95" s="50">
        <f t="shared" si="6"/>
        <v>0</v>
      </c>
      <c r="F95" s="24"/>
      <c r="G95" s="24"/>
      <c r="H95" s="50">
        <f t="shared" si="7"/>
        <v>0</v>
      </c>
      <c r="I95" s="68">
        <f t="shared" si="8"/>
        <v>0</v>
      </c>
      <c r="J95" s="69">
        <f t="shared" si="9"/>
        <v>-24181.89</v>
      </c>
      <c r="K95" s="70">
        <f t="shared" si="10"/>
        <v>0</v>
      </c>
      <c r="L95" s="130"/>
      <c r="M95" s="71"/>
      <c r="N95" s="71"/>
      <c r="IM95" s="71"/>
      <c r="IN95" s="71"/>
      <c r="IO95" s="71"/>
      <c r="IP95" s="71"/>
      <c r="IQ95" s="71"/>
      <c r="IR95" s="71"/>
      <c r="IS95" s="71"/>
      <c r="IT95" s="71"/>
      <c r="IU95" s="71"/>
    </row>
    <row r="96" spans="1:255" s="28" customFormat="1" ht="18.75" customHeight="1">
      <c r="A96" s="25" t="s">
        <v>86</v>
      </c>
      <c r="B96" s="76" t="s">
        <v>87</v>
      </c>
      <c r="C96" s="15">
        <f>C98</f>
        <v>0</v>
      </c>
      <c r="D96" s="15"/>
      <c r="E96" s="47">
        <f t="shared" si="6"/>
        <v>0</v>
      </c>
      <c r="F96" s="15">
        <f>F98+F97</f>
        <v>46419</v>
      </c>
      <c r="G96" s="15">
        <f>G98+G97</f>
        <v>37829.2</v>
      </c>
      <c r="H96" s="47">
        <f t="shared" si="7"/>
        <v>81.49507744673517</v>
      </c>
      <c r="I96" s="61">
        <f t="shared" si="8"/>
        <v>46419</v>
      </c>
      <c r="J96" s="62">
        <f t="shared" si="9"/>
        <v>37829.2</v>
      </c>
      <c r="K96" s="63">
        <f t="shared" si="10"/>
        <v>81.49507744673517</v>
      </c>
      <c r="L96" s="130"/>
      <c r="M96" s="27"/>
      <c r="N96" s="27"/>
      <c r="IM96" s="27"/>
      <c r="IN96" s="27"/>
      <c r="IO96" s="27"/>
      <c r="IP96" s="27"/>
      <c r="IQ96" s="27"/>
      <c r="IR96" s="27"/>
      <c r="IS96" s="27"/>
      <c r="IT96" s="27"/>
      <c r="IU96" s="27"/>
    </row>
    <row r="97" spans="1:255" s="72" customFormat="1" ht="30" customHeight="1">
      <c r="A97" s="66">
        <v>24110600</v>
      </c>
      <c r="B97" s="67" t="s">
        <v>115</v>
      </c>
      <c r="C97" s="24"/>
      <c r="D97" s="24"/>
      <c r="E97" s="50">
        <f t="shared" si="6"/>
        <v>0</v>
      </c>
      <c r="F97" s="24">
        <v>22200</v>
      </c>
      <c r="G97" s="24">
        <v>22200</v>
      </c>
      <c r="H97" s="50">
        <f t="shared" si="7"/>
        <v>100</v>
      </c>
      <c r="I97" s="68">
        <f t="shared" si="8"/>
        <v>22200</v>
      </c>
      <c r="J97" s="69">
        <f t="shared" si="9"/>
        <v>22200</v>
      </c>
      <c r="K97" s="70">
        <f t="shared" si="10"/>
        <v>100</v>
      </c>
      <c r="L97" s="130"/>
      <c r="M97" s="71"/>
      <c r="N97" s="71"/>
      <c r="IM97" s="71"/>
      <c r="IN97" s="71"/>
      <c r="IO97" s="71"/>
      <c r="IP97" s="71"/>
      <c r="IQ97" s="71"/>
      <c r="IR97" s="71"/>
      <c r="IS97" s="71"/>
      <c r="IT97" s="71"/>
      <c r="IU97" s="71"/>
    </row>
    <row r="98" spans="1:255" s="72" customFormat="1" ht="60" customHeight="1">
      <c r="A98" s="66" t="s">
        <v>88</v>
      </c>
      <c r="B98" s="67" t="s">
        <v>89</v>
      </c>
      <c r="C98" s="24"/>
      <c r="D98" s="24"/>
      <c r="E98" s="50">
        <f t="shared" si="6"/>
        <v>0</v>
      </c>
      <c r="F98" s="24">
        <v>24219</v>
      </c>
      <c r="G98" s="24">
        <v>15629.2</v>
      </c>
      <c r="H98" s="50">
        <f t="shared" si="7"/>
        <v>64.5328048226599</v>
      </c>
      <c r="I98" s="68">
        <f t="shared" si="8"/>
        <v>24219</v>
      </c>
      <c r="J98" s="69">
        <f t="shared" si="9"/>
        <v>15629.2</v>
      </c>
      <c r="K98" s="70">
        <f t="shared" si="10"/>
        <v>64.5328048226599</v>
      </c>
      <c r="L98" s="130"/>
      <c r="M98" s="71"/>
      <c r="N98" s="71"/>
      <c r="IM98" s="71"/>
      <c r="IN98" s="71"/>
      <c r="IO98" s="71"/>
      <c r="IP98" s="71"/>
      <c r="IQ98" s="71"/>
      <c r="IR98" s="71"/>
      <c r="IS98" s="71"/>
      <c r="IT98" s="71"/>
      <c r="IU98" s="71"/>
    </row>
    <row r="99" spans="1:255" s="28" customFormat="1" ht="28.5">
      <c r="A99" s="25">
        <v>24170000</v>
      </c>
      <c r="B99" s="26" t="s">
        <v>90</v>
      </c>
      <c r="C99" s="12"/>
      <c r="D99" s="12"/>
      <c r="E99" s="49">
        <f t="shared" si="6"/>
        <v>0</v>
      </c>
      <c r="F99" s="12">
        <f>1700000+1614387+3070900</f>
        <v>6385287</v>
      </c>
      <c r="G99" s="12">
        <v>7482188.09</v>
      </c>
      <c r="H99" s="49">
        <f t="shared" si="7"/>
        <v>117.1785714565375</v>
      </c>
      <c r="I99" s="61">
        <f t="shared" si="8"/>
        <v>6385287</v>
      </c>
      <c r="J99" s="62">
        <f t="shared" si="9"/>
        <v>7482188.09</v>
      </c>
      <c r="K99" s="63">
        <f t="shared" si="10"/>
        <v>117.1785714565375</v>
      </c>
      <c r="L99" s="130"/>
      <c r="M99" s="27"/>
      <c r="N99" s="27"/>
      <c r="IM99" s="27"/>
      <c r="IN99" s="27"/>
      <c r="IO99" s="27"/>
      <c r="IP99" s="27"/>
      <c r="IQ99" s="27"/>
      <c r="IR99" s="27"/>
      <c r="IS99" s="27"/>
      <c r="IT99" s="27"/>
      <c r="IU99" s="27"/>
    </row>
    <row r="100" spans="1:255" s="28" customFormat="1" ht="15" customHeight="1">
      <c r="A100" s="25">
        <v>25000000</v>
      </c>
      <c r="B100" s="26" t="s">
        <v>16</v>
      </c>
      <c r="C100" s="12"/>
      <c r="D100" s="12"/>
      <c r="E100" s="49">
        <f t="shared" si="6"/>
        <v>0</v>
      </c>
      <c r="F100" s="12">
        <f>F101+F102</f>
        <v>100691769</v>
      </c>
      <c r="G100" s="12">
        <f>G101+G102</f>
        <v>81788727.83000001</v>
      </c>
      <c r="H100" s="49">
        <f t="shared" si="7"/>
        <v>81.22682582922941</v>
      </c>
      <c r="I100" s="61">
        <f t="shared" si="8"/>
        <v>100691769</v>
      </c>
      <c r="J100" s="62">
        <f t="shared" si="9"/>
        <v>81788727.83000001</v>
      </c>
      <c r="K100" s="63">
        <f t="shared" si="10"/>
        <v>81.22682582922941</v>
      </c>
      <c r="L100" s="130"/>
      <c r="M100" s="27"/>
      <c r="N100" s="27"/>
      <c r="IM100" s="27"/>
      <c r="IN100" s="27"/>
      <c r="IO100" s="27"/>
      <c r="IP100" s="27"/>
      <c r="IQ100" s="27"/>
      <c r="IR100" s="27"/>
      <c r="IS100" s="27"/>
      <c r="IT100" s="27"/>
      <c r="IU100" s="27"/>
    </row>
    <row r="101" spans="1:255" s="72" customFormat="1" ht="45">
      <c r="A101" s="66" t="s">
        <v>91</v>
      </c>
      <c r="B101" s="67" t="s">
        <v>92</v>
      </c>
      <c r="C101" s="77"/>
      <c r="D101" s="77"/>
      <c r="E101" s="78">
        <f t="shared" si="6"/>
        <v>0</v>
      </c>
      <c r="F101" s="77">
        <v>65885725</v>
      </c>
      <c r="G101" s="77">
        <v>47520074.13</v>
      </c>
      <c r="H101" s="78">
        <f t="shared" si="7"/>
        <v>72.124992371261</v>
      </c>
      <c r="I101" s="68">
        <f t="shared" si="8"/>
        <v>65885725</v>
      </c>
      <c r="J101" s="69">
        <f t="shared" si="9"/>
        <v>47520074.13</v>
      </c>
      <c r="K101" s="70">
        <f t="shared" si="10"/>
        <v>72.124992371261</v>
      </c>
      <c r="L101" s="130"/>
      <c r="M101" s="71"/>
      <c r="N101" s="71"/>
      <c r="IM101" s="71"/>
      <c r="IN101" s="71"/>
      <c r="IO101" s="71"/>
      <c r="IP101" s="71"/>
      <c r="IQ101" s="71"/>
      <c r="IR101" s="71"/>
      <c r="IS101" s="71"/>
      <c r="IT101" s="71"/>
      <c r="IU101" s="71"/>
    </row>
    <row r="102" spans="1:255" s="72" customFormat="1" ht="30">
      <c r="A102" s="74" t="s">
        <v>93</v>
      </c>
      <c r="B102" s="79" t="s">
        <v>94</v>
      </c>
      <c r="C102" s="77"/>
      <c r="D102" s="77"/>
      <c r="E102" s="78">
        <f t="shared" si="6"/>
        <v>0</v>
      </c>
      <c r="F102" s="77">
        <v>34806044</v>
      </c>
      <c r="G102" s="77">
        <v>34268653.7</v>
      </c>
      <c r="H102" s="78">
        <f t="shared" si="7"/>
        <v>98.45604315158599</v>
      </c>
      <c r="I102" s="68">
        <f t="shared" si="8"/>
        <v>34806044</v>
      </c>
      <c r="J102" s="69">
        <f t="shared" si="9"/>
        <v>34268653.7</v>
      </c>
      <c r="K102" s="70">
        <f t="shared" si="10"/>
        <v>98.45604315158599</v>
      </c>
      <c r="L102" s="130"/>
      <c r="M102" s="71"/>
      <c r="N102" s="71"/>
      <c r="IM102" s="71"/>
      <c r="IN102" s="71"/>
      <c r="IO102" s="71"/>
      <c r="IP102" s="71"/>
      <c r="IQ102" s="71"/>
      <c r="IR102" s="71"/>
      <c r="IS102" s="71"/>
      <c r="IT102" s="71"/>
      <c r="IU102" s="71"/>
    </row>
    <row r="103" spans="1:255" s="22" customFormat="1" ht="14.25" customHeight="1">
      <c r="A103" s="25">
        <v>30000000</v>
      </c>
      <c r="B103" s="29" t="s">
        <v>12</v>
      </c>
      <c r="C103" s="12">
        <f>C104</f>
        <v>5000</v>
      </c>
      <c r="D103" s="12">
        <f>D104</f>
        <v>7797.52</v>
      </c>
      <c r="E103" s="49">
        <f t="shared" si="6"/>
        <v>155.9504</v>
      </c>
      <c r="F103" s="12">
        <f>F108+F109</f>
        <v>4716046</v>
      </c>
      <c r="G103" s="12">
        <f>G108+G109</f>
        <v>4876711.1</v>
      </c>
      <c r="H103" s="49">
        <f t="shared" si="7"/>
        <v>103.40677550643058</v>
      </c>
      <c r="I103" s="61">
        <f t="shared" si="8"/>
        <v>4721046</v>
      </c>
      <c r="J103" s="62">
        <f t="shared" si="9"/>
        <v>4884508.619999999</v>
      </c>
      <c r="K103" s="63">
        <f t="shared" si="10"/>
        <v>103.4624237933712</v>
      </c>
      <c r="L103" s="130"/>
      <c r="M103" s="21"/>
      <c r="N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s="28" customFormat="1" ht="15" customHeight="1">
      <c r="A104" s="25">
        <v>31000000</v>
      </c>
      <c r="B104" s="26" t="s">
        <v>13</v>
      </c>
      <c r="C104" s="15">
        <f>C105+C107</f>
        <v>5000</v>
      </c>
      <c r="D104" s="15">
        <f>D105+D107</f>
        <v>7797.52</v>
      </c>
      <c r="E104" s="47">
        <f t="shared" si="6"/>
        <v>155.9504</v>
      </c>
      <c r="F104" s="15">
        <f>F108</f>
        <v>3766046</v>
      </c>
      <c r="G104" s="15">
        <f>G108</f>
        <v>4283063.52</v>
      </c>
      <c r="H104" s="47">
        <f t="shared" si="7"/>
        <v>113.72839099681732</v>
      </c>
      <c r="I104" s="61">
        <f t="shared" si="8"/>
        <v>3771046</v>
      </c>
      <c r="J104" s="62">
        <f t="shared" si="9"/>
        <v>4290861.039999999</v>
      </c>
      <c r="K104" s="63">
        <f t="shared" si="10"/>
        <v>113.78437282387961</v>
      </c>
      <c r="L104" s="130"/>
      <c r="M104" s="27"/>
      <c r="N104" s="27"/>
      <c r="IM104" s="27"/>
      <c r="IN104" s="27"/>
      <c r="IO104" s="27"/>
      <c r="IP104" s="27"/>
      <c r="IQ104" s="27"/>
      <c r="IR104" s="27"/>
      <c r="IS104" s="27"/>
      <c r="IT104" s="27"/>
      <c r="IU104" s="27"/>
    </row>
    <row r="105" spans="1:255" s="4" customFormat="1" ht="69.75" customHeight="1" hidden="1">
      <c r="A105" s="18" t="s">
        <v>95</v>
      </c>
      <c r="B105" s="5" t="s">
        <v>96</v>
      </c>
      <c r="C105" s="1">
        <f>C106</f>
        <v>0</v>
      </c>
      <c r="D105" s="1"/>
      <c r="E105" s="48">
        <f t="shared" si="6"/>
        <v>0</v>
      </c>
      <c r="F105" s="1"/>
      <c r="G105" s="1"/>
      <c r="H105" s="48">
        <f t="shared" si="7"/>
        <v>0</v>
      </c>
      <c r="I105" s="55">
        <f t="shared" si="8"/>
        <v>0</v>
      </c>
      <c r="J105" s="56">
        <f t="shared" si="9"/>
        <v>0</v>
      </c>
      <c r="K105" s="57">
        <f t="shared" si="10"/>
        <v>0</v>
      </c>
      <c r="L105" s="130"/>
      <c r="M105" s="3"/>
      <c r="N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s="4" customFormat="1" ht="57.75" customHeight="1" hidden="1">
      <c r="A106" s="18" t="s">
        <v>97</v>
      </c>
      <c r="B106" s="5" t="s">
        <v>98</v>
      </c>
      <c r="C106" s="1"/>
      <c r="D106" s="1"/>
      <c r="E106" s="48">
        <f t="shared" si="6"/>
        <v>0</v>
      </c>
      <c r="F106" s="1"/>
      <c r="G106" s="1"/>
      <c r="H106" s="48">
        <f t="shared" si="7"/>
        <v>0</v>
      </c>
      <c r="I106" s="55">
        <f t="shared" si="8"/>
        <v>0</v>
      </c>
      <c r="J106" s="56">
        <f t="shared" si="9"/>
        <v>0</v>
      </c>
      <c r="K106" s="57">
        <f t="shared" si="10"/>
        <v>0</v>
      </c>
      <c r="L106" s="130"/>
      <c r="M106" s="3"/>
      <c r="N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s="28" customFormat="1" ht="42.75">
      <c r="A107" s="25" t="s">
        <v>99</v>
      </c>
      <c r="B107" s="26" t="s">
        <v>100</v>
      </c>
      <c r="C107" s="15">
        <v>5000</v>
      </c>
      <c r="D107" s="15">
        <v>7797.52</v>
      </c>
      <c r="E107" s="47">
        <f t="shared" si="6"/>
        <v>155.9504</v>
      </c>
      <c r="F107" s="15"/>
      <c r="G107" s="15"/>
      <c r="H107" s="47">
        <f t="shared" si="7"/>
        <v>0</v>
      </c>
      <c r="I107" s="61">
        <f t="shared" si="8"/>
        <v>5000</v>
      </c>
      <c r="J107" s="62">
        <f t="shared" si="9"/>
        <v>7797.52</v>
      </c>
      <c r="K107" s="63">
        <f t="shared" si="10"/>
        <v>155.9504</v>
      </c>
      <c r="L107" s="130"/>
      <c r="M107" s="27"/>
      <c r="N107" s="27"/>
      <c r="IM107" s="27"/>
      <c r="IN107" s="27"/>
      <c r="IO107" s="27"/>
      <c r="IP107" s="27"/>
      <c r="IQ107" s="27"/>
      <c r="IR107" s="27"/>
      <c r="IS107" s="27"/>
      <c r="IT107" s="27"/>
      <c r="IU107" s="27"/>
    </row>
    <row r="108" spans="1:255" s="81" customFormat="1" ht="42.75">
      <c r="A108" s="25" t="s">
        <v>101</v>
      </c>
      <c r="B108" s="26" t="s">
        <v>102</v>
      </c>
      <c r="C108" s="15"/>
      <c r="D108" s="15"/>
      <c r="E108" s="47">
        <f t="shared" si="6"/>
        <v>0</v>
      </c>
      <c r="F108" s="15">
        <f>1000000+1000000+764000+400000+450000+91446+60600</f>
        <v>3766046</v>
      </c>
      <c r="G108" s="15">
        <v>4283063.52</v>
      </c>
      <c r="H108" s="47">
        <f t="shared" si="7"/>
        <v>113.72839099681732</v>
      </c>
      <c r="I108" s="61">
        <f t="shared" si="8"/>
        <v>3766046</v>
      </c>
      <c r="J108" s="62">
        <f t="shared" si="9"/>
        <v>4283063.52</v>
      </c>
      <c r="K108" s="63">
        <f t="shared" si="10"/>
        <v>113.72839099681732</v>
      </c>
      <c r="L108" s="130"/>
      <c r="M108" s="80"/>
      <c r="N108" s="80"/>
      <c r="IM108" s="80"/>
      <c r="IN108" s="80"/>
      <c r="IO108" s="80"/>
      <c r="IP108" s="80"/>
      <c r="IQ108" s="80"/>
      <c r="IR108" s="80"/>
      <c r="IS108" s="80"/>
      <c r="IT108" s="80"/>
      <c r="IU108" s="80"/>
    </row>
    <row r="109" spans="1:255" s="28" customFormat="1" ht="18.75" customHeight="1">
      <c r="A109" s="40">
        <v>33000000</v>
      </c>
      <c r="B109" s="82" t="s">
        <v>114</v>
      </c>
      <c r="C109" s="11"/>
      <c r="D109" s="11"/>
      <c r="E109" s="51">
        <f t="shared" si="6"/>
        <v>0</v>
      </c>
      <c r="F109" s="11">
        <f>F110</f>
        <v>950000</v>
      </c>
      <c r="G109" s="11">
        <f>G110</f>
        <v>593647.58</v>
      </c>
      <c r="H109" s="51">
        <f t="shared" si="7"/>
        <v>62.48921894736842</v>
      </c>
      <c r="I109" s="61">
        <f t="shared" si="8"/>
        <v>950000</v>
      </c>
      <c r="J109" s="62">
        <f t="shared" si="9"/>
        <v>593647.58</v>
      </c>
      <c r="K109" s="63">
        <f t="shared" si="10"/>
        <v>62.48921894736842</v>
      </c>
      <c r="L109" s="130"/>
      <c r="M109" s="27"/>
      <c r="N109" s="27"/>
      <c r="IM109" s="27"/>
      <c r="IN109" s="27"/>
      <c r="IO109" s="27"/>
      <c r="IP109" s="27"/>
      <c r="IQ109" s="27"/>
      <c r="IR109" s="27"/>
      <c r="IS109" s="27"/>
      <c r="IT109" s="27"/>
      <c r="IU109" s="27"/>
    </row>
    <row r="110" spans="1:255" s="28" customFormat="1" ht="14.25">
      <c r="A110" s="25" t="s">
        <v>103</v>
      </c>
      <c r="B110" s="26" t="s">
        <v>104</v>
      </c>
      <c r="C110" s="15"/>
      <c r="D110" s="15"/>
      <c r="E110" s="47">
        <f t="shared" si="6"/>
        <v>0</v>
      </c>
      <c r="F110" s="15">
        <f>F111</f>
        <v>950000</v>
      </c>
      <c r="G110" s="15">
        <f>G111</f>
        <v>593647.58</v>
      </c>
      <c r="H110" s="47">
        <f t="shared" si="7"/>
        <v>62.48921894736842</v>
      </c>
      <c r="I110" s="61">
        <f t="shared" si="8"/>
        <v>950000</v>
      </c>
      <c r="J110" s="62">
        <f t="shared" si="9"/>
        <v>593647.58</v>
      </c>
      <c r="K110" s="63">
        <f t="shared" si="10"/>
        <v>62.48921894736842</v>
      </c>
      <c r="L110" s="130"/>
      <c r="M110" s="27"/>
      <c r="N110" s="27"/>
      <c r="IM110" s="27"/>
      <c r="IN110" s="27"/>
      <c r="IO110" s="27"/>
      <c r="IP110" s="27"/>
      <c r="IQ110" s="27"/>
      <c r="IR110" s="27"/>
      <c r="IS110" s="27"/>
      <c r="IT110" s="27"/>
      <c r="IU110" s="27"/>
    </row>
    <row r="111" spans="1:255" s="72" customFormat="1" ht="90">
      <c r="A111" s="66" t="s">
        <v>105</v>
      </c>
      <c r="B111" s="67" t="s">
        <v>106</v>
      </c>
      <c r="C111" s="24"/>
      <c r="D111" s="24"/>
      <c r="E111" s="50">
        <f t="shared" si="6"/>
        <v>0</v>
      </c>
      <c r="F111" s="24">
        <v>950000</v>
      </c>
      <c r="G111" s="24">
        <v>593647.58</v>
      </c>
      <c r="H111" s="50">
        <f t="shared" si="7"/>
        <v>62.48921894736842</v>
      </c>
      <c r="I111" s="68">
        <f t="shared" si="8"/>
        <v>950000</v>
      </c>
      <c r="J111" s="69">
        <f t="shared" si="9"/>
        <v>593647.58</v>
      </c>
      <c r="K111" s="70">
        <f t="shared" si="10"/>
        <v>62.48921894736842</v>
      </c>
      <c r="L111" s="130"/>
      <c r="M111" s="71"/>
      <c r="N111" s="71"/>
      <c r="IM111" s="71"/>
      <c r="IN111" s="71"/>
      <c r="IO111" s="71"/>
      <c r="IP111" s="71"/>
      <c r="IQ111" s="71"/>
      <c r="IR111" s="71"/>
      <c r="IS111" s="71"/>
      <c r="IT111" s="71"/>
      <c r="IU111" s="71"/>
    </row>
    <row r="112" spans="1:255" s="31" customFormat="1" ht="18" customHeight="1">
      <c r="A112" s="40">
        <v>50000000</v>
      </c>
      <c r="B112" s="60" t="s">
        <v>9</v>
      </c>
      <c r="C112" s="11"/>
      <c r="D112" s="11"/>
      <c r="E112" s="51">
        <f t="shared" si="6"/>
        <v>0</v>
      </c>
      <c r="F112" s="11">
        <f>F113</f>
        <v>1566800</v>
      </c>
      <c r="G112" s="11">
        <f>G113</f>
        <v>1646254.74</v>
      </c>
      <c r="H112" s="47">
        <f t="shared" si="7"/>
        <v>105.07114756190963</v>
      </c>
      <c r="I112" s="61">
        <f t="shared" si="8"/>
        <v>1566800</v>
      </c>
      <c r="J112" s="62">
        <f t="shared" si="9"/>
        <v>1646254.74</v>
      </c>
      <c r="K112" s="63">
        <f t="shared" si="10"/>
        <v>105.07114756190963</v>
      </c>
      <c r="L112" s="130"/>
      <c r="M112" s="30"/>
      <c r="N112" s="30"/>
      <c r="IM112" s="30"/>
      <c r="IN112" s="30"/>
      <c r="IO112" s="30"/>
      <c r="IP112" s="30"/>
      <c r="IQ112" s="30"/>
      <c r="IR112" s="30"/>
      <c r="IS112" s="30"/>
      <c r="IT112" s="30"/>
      <c r="IU112" s="30"/>
    </row>
    <row r="113" spans="1:255" s="31" customFormat="1" ht="18.75" customHeight="1">
      <c r="A113" s="73" t="s">
        <v>107</v>
      </c>
      <c r="B113" s="29" t="s">
        <v>108</v>
      </c>
      <c r="C113" s="15"/>
      <c r="D113" s="15"/>
      <c r="E113" s="47">
        <f t="shared" si="6"/>
        <v>0</v>
      </c>
      <c r="F113" s="15">
        <f>F114</f>
        <v>1566800</v>
      </c>
      <c r="G113" s="15">
        <f>G114</f>
        <v>1646254.74</v>
      </c>
      <c r="H113" s="47">
        <f t="shared" si="7"/>
        <v>105.07114756190963</v>
      </c>
      <c r="I113" s="61">
        <f t="shared" si="8"/>
        <v>1566800</v>
      </c>
      <c r="J113" s="62">
        <f t="shared" si="9"/>
        <v>1646254.74</v>
      </c>
      <c r="K113" s="63">
        <f t="shared" si="10"/>
        <v>105.07114756190963</v>
      </c>
      <c r="L113" s="130"/>
      <c r="M113" s="30"/>
      <c r="N113" s="30"/>
      <c r="IM113" s="30"/>
      <c r="IN113" s="30"/>
      <c r="IO113" s="30"/>
      <c r="IP113" s="30"/>
      <c r="IQ113" s="30"/>
      <c r="IR113" s="30"/>
      <c r="IS113" s="30"/>
      <c r="IT113" s="30"/>
      <c r="IU113" s="30"/>
    </row>
    <row r="114" spans="1:255" s="22" customFormat="1" ht="48" customHeight="1">
      <c r="A114" s="18">
        <v>50110000</v>
      </c>
      <c r="B114" s="23" t="s">
        <v>109</v>
      </c>
      <c r="C114" s="24"/>
      <c r="D114" s="24"/>
      <c r="E114" s="50">
        <f t="shared" si="6"/>
        <v>0</v>
      </c>
      <c r="F114" s="1">
        <f>1414464+135000+15336+2000</f>
        <v>1566800</v>
      </c>
      <c r="G114" s="1">
        <v>1646254.74</v>
      </c>
      <c r="H114" s="50">
        <f t="shared" si="7"/>
        <v>105.07114756190963</v>
      </c>
      <c r="I114" s="55">
        <f t="shared" si="8"/>
        <v>1566800</v>
      </c>
      <c r="J114" s="56">
        <f t="shared" si="9"/>
        <v>1646254.74</v>
      </c>
      <c r="K114" s="57">
        <f t="shared" si="10"/>
        <v>105.07114756190963</v>
      </c>
      <c r="L114" s="130"/>
      <c r="M114" s="21"/>
      <c r="N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s="28" customFormat="1" ht="34.5" customHeight="1">
      <c r="A115" s="25">
        <v>90010100</v>
      </c>
      <c r="B115" s="26" t="s">
        <v>163</v>
      </c>
      <c r="C115" s="15">
        <f>C103+C63+C12</f>
        <v>1863544800</v>
      </c>
      <c r="D115" s="15">
        <f>D103+D63+D12</f>
        <v>1768363467.39</v>
      </c>
      <c r="E115" s="47">
        <f t="shared" si="6"/>
        <v>94.89245803964575</v>
      </c>
      <c r="F115" s="15">
        <f>F103+F63+F12+F112</f>
        <v>118123581</v>
      </c>
      <c r="G115" s="15">
        <f>G103+G63+G12+G112</f>
        <v>100367388.79</v>
      </c>
      <c r="H115" s="47">
        <f t="shared" si="7"/>
        <v>84.96812231759212</v>
      </c>
      <c r="I115" s="61">
        <f t="shared" si="8"/>
        <v>1981668381</v>
      </c>
      <c r="J115" s="62">
        <f t="shared" si="9"/>
        <v>1868730856.18</v>
      </c>
      <c r="K115" s="63">
        <f t="shared" si="10"/>
        <v>94.30088677284093</v>
      </c>
      <c r="L115" s="130"/>
      <c r="M115" s="27"/>
      <c r="N115" s="27"/>
      <c r="IM115" s="27"/>
      <c r="IN115" s="27"/>
      <c r="IO115" s="27"/>
      <c r="IP115" s="27"/>
      <c r="IQ115" s="27"/>
      <c r="IR115" s="27"/>
      <c r="IS115" s="27"/>
      <c r="IT115" s="27"/>
      <c r="IU115" s="27"/>
    </row>
    <row r="116" spans="1:255" s="31" customFormat="1" ht="13.5" customHeight="1">
      <c r="A116" s="25">
        <v>40000000</v>
      </c>
      <c r="B116" s="29" t="s">
        <v>1</v>
      </c>
      <c r="C116" s="15">
        <f>C117</f>
        <v>1101786438.98</v>
      </c>
      <c r="D116" s="15">
        <f>D117</f>
        <v>1051335582.26</v>
      </c>
      <c r="E116" s="47">
        <f t="shared" si="6"/>
        <v>95.42099494647022</v>
      </c>
      <c r="F116" s="15">
        <f>F184+F117</f>
        <v>60452988</v>
      </c>
      <c r="G116" s="15">
        <f>G184+G117</f>
        <v>58040831.120000005</v>
      </c>
      <c r="H116" s="47">
        <f t="shared" si="7"/>
        <v>96.00986326763534</v>
      </c>
      <c r="I116" s="61">
        <f t="shared" si="8"/>
        <v>1162239426.98</v>
      </c>
      <c r="J116" s="62">
        <f t="shared" si="9"/>
        <v>1109376413.38</v>
      </c>
      <c r="K116" s="63">
        <f t="shared" si="10"/>
        <v>95.45162447832622</v>
      </c>
      <c r="L116" s="130"/>
      <c r="M116" s="30"/>
      <c r="N116" s="30"/>
      <c r="IM116" s="30"/>
      <c r="IN116" s="30"/>
      <c r="IO116" s="30"/>
      <c r="IP116" s="30"/>
      <c r="IQ116" s="30"/>
      <c r="IR116" s="30"/>
      <c r="IS116" s="30"/>
      <c r="IT116" s="30"/>
      <c r="IU116" s="30"/>
    </row>
    <row r="117" spans="1:255" s="28" customFormat="1" ht="18" customHeight="1">
      <c r="A117" s="25">
        <v>41000000</v>
      </c>
      <c r="B117" s="26" t="s">
        <v>17</v>
      </c>
      <c r="C117" s="15">
        <f>C118+C126+C123</f>
        <v>1101786438.98</v>
      </c>
      <c r="D117" s="15">
        <f>D118+D126+D123</f>
        <v>1051335582.26</v>
      </c>
      <c r="E117" s="47">
        <f t="shared" si="6"/>
        <v>95.42099494647022</v>
      </c>
      <c r="F117" s="15">
        <f>F118+F126+F123</f>
        <v>54692988</v>
      </c>
      <c r="G117" s="15">
        <f>G118+G126+G123</f>
        <v>54633963.160000004</v>
      </c>
      <c r="H117" s="47">
        <f t="shared" si="7"/>
        <v>99.89207969401855</v>
      </c>
      <c r="I117" s="61">
        <f t="shared" si="8"/>
        <v>1156479426.98</v>
      </c>
      <c r="J117" s="62">
        <f t="shared" si="9"/>
        <v>1105969545.42</v>
      </c>
      <c r="K117" s="63">
        <f t="shared" si="10"/>
        <v>95.63244443596372</v>
      </c>
      <c r="L117" s="130"/>
      <c r="M117" s="27"/>
      <c r="N117" s="27"/>
      <c r="IM117" s="27"/>
      <c r="IN117" s="27"/>
      <c r="IO117" s="27"/>
      <c r="IP117" s="27"/>
      <c r="IQ117" s="27"/>
      <c r="IR117" s="27"/>
      <c r="IS117" s="27"/>
      <c r="IT117" s="27"/>
      <c r="IU117" s="27"/>
    </row>
    <row r="118" spans="1:255" s="28" customFormat="1" ht="18" customHeight="1">
      <c r="A118" s="25">
        <v>41030000</v>
      </c>
      <c r="B118" s="26" t="s">
        <v>143</v>
      </c>
      <c r="C118" s="15">
        <f>C120+C121+C119+C122</f>
        <v>535152276</v>
      </c>
      <c r="D118" s="15">
        <f>D120+D121+D119+D122</f>
        <v>535086795.93</v>
      </c>
      <c r="E118" s="47">
        <f t="shared" si="6"/>
        <v>99.98776421722629</v>
      </c>
      <c r="F118" s="15">
        <f>F120+F121</f>
        <v>0</v>
      </c>
      <c r="G118" s="15"/>
      <c r="H118" s="47">
        <f t="shared" si="7"/>
        <v>0</v>
      </c>
      <c r="I118" s="61">
        <f t="shared" si="8"/>
        <v>535152276</v>
      </c>
      <c r="J118" s="62">
        <f t="shared" si="9"/>
        <v>535086795.93</v>
      </c>
      <c r="K118" s="63">
        <f t="shared" si="10"/>
        <v>99.98776421722629</v>
      </c>
      <c r="L118" s="130"/>
      <c r="M118" s="27"/>
      <c r="N118" s="27"/>
      <c r="IM118" s="27"/>
      <c r="IN118" s="27"/>
      <c r="IO118" s="27"/>
      <c r="IP118" s="27"/>
      <c r="IQ118" s="27"/>
      <c r="IR118" s="27"/>
      <c r="IS118" s="27"/>
      <c r="IT118" s="27"/>
      <c r="IU118" s="27"/>
    </row>
    <row r="119" spans="1:255" s="4" customFormat="1" ht="60">
      <c r="A119" s="18">
        <v>41033800</v>
      </c>
      <c r="B119" s="5" t="s">
        <v>152</v>
      </c>
      <c r="C119" s="1">
        <v>896000</v>
      </c>
      <c r="D119" s="1">
        <v>896000</v>
      </c>
      <c r="E119" s="48">
        <f t="shared" si="6"/>
        <v>100</v>
      </c>
      <c r="F119" s="1"/>
      <c r="G119" s="1"/>
      <c r="H119" s="48">
        <f t="shared" si="7"/>
        <v>0</v>
      </c>
      <c r="I119" s="55">
        <f t="shared" si="8"/>
        <v>896000</v>
      </c>
      <c r="J119" s="56">
        <f t="shared" si="9"/>
        <v>896000</v>
      </c>
      <c r="K119" s="57">
        <f t="shared" si="10"/>
        <v>100</v>
      </c>
      <c r="L119" s="130"/>
      <c r="M119" s="3"/>
      <c r="N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s="4" customFormat="1" ht="30">
      <c r="A120" s="18">
        <v>41033900</v>
      </c>
      <c r="B120" s="5" t="s">
        <v>126</v>
      </c>
      <c r="C120" s="1">
        <f>313500000-2399200</f>
        <v>311100800</v>
      </c>
      <c r="D120" s="1">
        <v>311100800</v>
      </c>
      <c r="E120" s="48">
        <f t="shared" si="6"/>
        <v>100</v>
      </c>
      <c r="F120" s="1"/>
      <c r="G120" s="1"/>
      <c r="H120" s="48">
        <f t="shared" si="7"/>
        <v>0</v>
      </c>
      <c r="I120" s="55">
        <f t="shared" si="8"/>
        <v>311100800</v>
      </c>
      <c r="J120" s="56">
        <f t="shared" si="9"/>
        <v>311100800</v>
      </c>
      <c r="K120" s="57">
        <f t="shared" si="10"/>
        <v>100</v>
      </c>
      <c r="L120" s="130"/>
      <c r="M120" s="3"/>
      <c r="N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s="4" customFormat="1" ht="30">
      <c r="A121" s="18">
        <v>41034200</v>
      </c>
      <c r="B121" s="5" t="s">
        <v>128</v>
      </c>
      <c r="C121" s="1">
        <f>194686700+200</f>
        <v>194686900</v>
      </c>
      <c r="D121" s="1">
        <v>194686900</v>
      </c>
      <c r="E121" s="48">
        <f t="shared" si="6"/>
        <v>100</v>
      </c>
      <c r="F121" s="1"/>
      <c r="G121" s="1"/>
      <c r="H121" s="48">
        <f t="shared" si="7"/>
        <v>0</v>
      </c>
      <c r="I121" s="55">
        <f t="shared" si="8"/>
        <v>194686900</v>
      </c>
      <c r="J121" s="56">
        <f t="shared" si="9"/>
        <v>194686900</v>
      </c>
      <c r="K121" s="57">
        <f t="shared" si="10"/>
        <v>100</v>
      </c>
      <c r="L121" s="130"/>
      <c r="M121" s="3"/>
      <c r="N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s="4" customFormat="1" ht="45">
      <c r="A122" s="18">
        <v>41034500</v>
      </c>
      <c r="B122" s="5" t="s">
        <v>157</v>
      </c>
      <c r="C122" s="1">
        <f>17573300+9184000+9085000-7373724</f>
        <v>28468576</v>
      </c>
      <c r="D122" s="1">
        <v>28403095.93</v>
      </c>
      <c r="E122" s="48">
        <f t="shared" si="6"/>
        <v>99.76999176214504</v>
      </c>
      <c r="F122" s="1"/>
      <c r="G122" s="1"/>
      <c r="H122" s="48">
        <f t="shared" si="7"/>
        <v>0</v>
      </c>
      <c r="I122" s="55">
        <f t="shared" si="8"/>
        <v>28468576</v>
      </c>
      <c r="J122" s="56">
        <f t="shared" si="9"/>
        <v>28403095.93</v>
      </c>
      <c r="K122" s="57">
        <f t="shared" si="10"/>
        <v>99.76999176214504</v>
      </c>
      <c r="L122" s="130"/>
      <c r="M122" s="3"/>
      <c r="N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s="28" customFormat="1" ht="28.5">
      <c r="A123" s="25">
        <v>41040000</v>
      </c>
      <c r="B123" s="26" t="s">
        <v>139</v>
      </c>
      <c r="C123" s="15">
        <f>C124+C125</f>
        <v>5081630</v>
      </c>
      <c r="D123" s="15">
        <f>D124+D125</f>
        <v>5081630</v>
      </c>
      <c r="E123" s="47">
        <f t="shared" si="6"/>
        <v>100</v>
      </c>
      <c r="F123" s="15"/>
      <c r="G123" s="15"/>
      <c r="H123" s="47">
        <f t="shared" si="7"/>
        <v>0</v>
      </c>
      <c r="I123" s="61">
        <f t="shared" si="8"/>
        <v>5081630</v>
      </c>
      <c r="J123" s="62">
        <f t="shared" si="9"/>
        <v>5081630</v>
      </c>
      <c r="K123" s="63">
        <f t="shared" si="10"/>
        <v>100</v>
      </c>
      <c r="L123" s="130"/>
      <c r="M123" s="27"/>
      <c r="N123" s="27"/>
      <c r="IM123" s="27"/>
      <c r="IN123" s="27"/>
      <c r="IO123" s="27"/>
      <c r="IP123" s="27"/>
      <c r="IQ123" s="27"/>
      <c r="IR123" s="27"/>
      <c r="IS123" s="27"/>
      <c r="IT123" s="27"/>
      <c r="IU123" s="27"/>
    </row>
    <row r="124" spans="1:255" s="20" customFormat="1" ht="60" customHeight="1">
      <c r="A124" s="18">
        <v>41040200</v>
      </c>
      <c r="B124" s="5" t="s">
        <v>131</v>
      </c>
      <c r="C124" s="1">
        <f>3474230+107400</f>
        <v>3581630</v>
      </c>
      <c r="D124" s="1">
        <v>3581630</v>
      </c>
      <c r="E124" s="48">
        <f t="shared" si="6"/>
        <v>100</v>
      </c>
      <c r="F124" s="1"/>
      <c r="G124" s="1"/>
      <c r="H124" s="48">
        <f t="shared" si="7"/>
        <v>0</v>
      </c>
      <c r="I124" s="55">
        <f t="shared" si="8"/>
        <v>3581630</v>
      </c>
      <c r="J124" s="56">
        <f t="shared" si="9"/>
        <v>3581630</v>
      </c>
      <c r="K124" s="57">
        <f t="shared" si="10"/>
        <v>100</v>
      </c>
      <c r="L124" s="130"/>
      <c r="M124" s="19"/>
      <c r="N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s="20" customFormat="1" ht="24.75" customHeight="1">
      <c r="A125" s="18">
        <v>41040400</v>
      </c>
      <c r="B125" s="5" t="s">
        <v>201</v>
      </c>
      <c r="C125" s="1">
        <v>1500000</v>
      </c>
      <c r="D125" s="1">
        <v>1500000</v>
      </c>
      <c r="E125" s="48">
        <f t="shared" si="6"/>
        <v>100</v>
      </c>
      <c r="F125" s="1"/>
      <c r="G125" s="1"/>
      <c r="H125" s="48">
        <f t="shared" si="7"/>
        <v>0</v>
      </c>
      <c r="I125" s="55">
        <f t="shared" si="8"/>
        <v>1500000</v>
      </c>
      <c r="J125" s="56">
        <f t="shared" si="9"/>
        <v>1500000</v>
      </c>
      <c r="K125" s="57">
        <f t="shared" si="10"/>
        <v>100</v>
      </c>
      <c r="L125" s="130"/>
      <c r="M125" s="19"/>
      <c r="N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s="28" customFormat="1" ht="28.5">
      <c r="A126" s="25">
        <v>41050000</v>
      </c>
      <c r="B126" s="26" t="s">
        <v>132</v>
      </c>
      <c r="C126" s="15">
        <f>C127+C128+C129+C133+C153+C160+C164+C163+C136+C142+C180+C162+C149+C130+C131+C132+C134+C135+C181+C182</f>
        <v>561552532.98</v>
      </c>
      <c r="D126" s="15">
        <f>D127+D128+D129+D133+D153+D160+D164+D163+D136+D142+D180+D162+D149+D130+D131+D132+D134+D135+D181+D182</f>
        <v>511167156.33000004</v>
      </c>
      <c r="E126" s="47">
        <f t="shared" si="6"/>
        <v>91.02748653227168</v>
      </c>
      <c r="F126" s="15">
        <f>F127+F128+F129+F133+F153+F160+F164+F163+F136+F142+F180+F162+F161+F132</f>
        <v>54692988</v>
      </c>
      <c r="G126" s="15">
        <f>G127+G128+G129+G133+G153+G160+G164+G163+G136+G142+G180+G162+G161+G132</f>
        <v>54633963.160000004</v>
      </c>
      <c r="H126" s="47">
        <f t="shared" si="7"/>
        <v>99.89207969401855</v>
      </c>
      <c r="I126" s="61">
        <f t="shared" si="8"/>
        <v>616245520.98</v>
      </c>
      <c r="J126" s="62">
        <f t="shared" si="9"/>
        <v>565801119.49</v>
      </c>
      <c r="K126" s="63">
        <f t="shared" si="10"/>
        <v>91.81423640860228</v>
      </c>
      <c r="L126" s="130"/>
      <c r="M126" s="27"/>
      <c r="N126" s="27"/>
      <c r="IM126" s="27"/>
      <c r="IN126" s="27"/>
      <c r="IO126" s="27"/>
      <c r="IP126" s="27"/>
      <c r="IQ126" s="27"/>
      <c r="IR126" s="27"/>
      <c r="IS126" s="27"/>
      <c r="IT126" s="27"/>
      <c r="IU126" s="27"/>
    </row>
    <row r="127" spans="1:255" s="4" customFormat="1" ht="197.25" customHeight="1">
      <c r="A127" s="18">
        <v>41050100</v>
      </c>
      <c r="B127" s="5" t="s">
        <v>178</v>
      </c>
      <c r="C127" s="1">
        <f>283223940-118925145+1400000+3540000+294343.51+5476700</f>
        <v>175009838.51</v>
      </c>
      <c r="D127" s="1">
        <v>174544112.17</v>
      </c>
      <c r="E127" s="48">
        <f t="shared" si="6"/>
        <v>99.73388562382257</v>
      </c>
      <c r="F127" s="1"/>
      <c r="G127" s="1"/>
      <c r="H127" s="48">
        <f t="shared" si="7"/>
        <v>0</v>
      </c>
      <c r="I127" s="55">
        <f t="shared" si="8"/>
        <v>175009838.51</v>
      </c>
      <c r="J127" s="56">
        <f t="shared" si="9"/>
        <v>174544112.17</v>
      </c>
      <c r="K127" s="57">
        <f t="shared" si="10"/>
        <v>99.73388562382257</v>
      </c>
      <c r="L127" s="130"/>
      <c r="M127" s="3"/>
      <c r="N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s="4" customFormat="1" ht="58.5" customHeight="1">
      <c r="A128" s="18">
        <v>41050200</v>
      </c>
      <c r="B128" s="5" t="s">
        <v>133</v>
      </c>
      <c r="C128" s="1">
        <v>352400</v>
      </c>
      <c r="D128" s="1">
        <v>228533.09</v>
      </c>
      <c r="E128" s="48">
        <f t="shared" si="6"/>
        <v>64.85047956867196</v>
      </c>
      <c r="F128" s="1"/>
      <c r="G128" s="1"/>
      <c r="H128" s="48">
        <f t="shared" si="7"/>
        <v>0</v>
      </c>
      <c r="I128" s="55">
        <f t="shared" si="8"/>
        <v>352400</v>
      </c>
      <c r="J128" s="56">
        <f t="shared" si="9"/>
        <v>228533.09</v>
      </c>
      <c r="K128" s="57">
        <f t="shared" si="10"/>
        <v>64.85047956867196</v>
      </c>
      <c r="L128" s="130"/>
      <c r="M128" s="3"/>
      <c r="N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s="4" customFormat="1" ht="181.5" customHeight="1">
      <c r="A129" s="18">
        <v>41050300</v>
      </c>
      <c r="B129" s="2" t="s">
        <v>141</v>
      </c>
      <c r="C129" s="1">
        <v>339093600</v>
      </c>
      <c r="D129" s="1">
        <v>290876218.06</v>
      </c>
      <c r="E129" s="48">
        <f t="shared" si="6"/>
        <v>85.78050958791319</v>
      </c>
      <c r="F129" s="1"/>
      <c r="G129" s="1"/>
      <c r="H129" s="48">
        <f t="shared" si="7"/>
        <v>0</v>
      </c>
      <c r="I129" s="55">
        <f t="shared" si="8"/>
        <v>339093600</v>
      </c>
      <c r="J129" s="56">
        <f t="shared" si="9"/>
        <v>290876218.06</v>
      </c>
      <c r="K129" s="57">
        <f t="shared" si="10"/>
        <v>85.78050958791319</v>
      </c>
      <c r="L129" s="130"/>
      <c r="M129" s="3"/>
      <c r="N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 s="4" customFormat="1" ht="231.75" customHeight="1">
      <c r="A130" s="18">
        <v>41050400</v>
      </c>
      <c r="B130" s="2" t="s">
        <v>196</v>
      </c>
      <c r="C130" s="1">
        <f>1805663.23+751009.68</f>
        <v>2556672.91</v>
      </c>
      <c r="D130" s="1">
        <v>2273878.33</v>
      </c>
      <c r="E130" s="48">
        <f t="shared" si="6"/>
        <v>88.93896130029398</v>
      </c>
      <c r="F130" s="1"/>
      <c r="G130" s="1"/>
      <c r="H130" s="48">
        <f t="shared" si="7"/>
        <v>0</v>
      </c>
      <c r="I130" s="55">
        <f t="shared" si="8"/>
        <v>2556672.91</v>
      </c>
      <c r="J130" s="56">
        <f t="shared" si="9"/>
        <v>2273878.33</v>
      </c>
      <c r="K130" s="57">
        <f t="shared" si="10"/>
        <v>88.93896130029398</v>
      </c>
      <c r="L130" s="130"/>
      <c r="M130" s="3"/>
      <c r="N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 s="4" customFormat="1" ht="198.75" customHeight="1">
      <c r="A131" s="18">
        <v>41050500</v>
      </c>
      <c r="B131" s="2" t="s">
        <v>195</v>
      </c>
      <c r="C131" s="1">
        <v>1462158</v>
      </c>
      <c r="D131" s="1">
        <v>1293750.75</v>
      </c>
      <c r="E131" s="48">
        <f t="shared" si="6"/>
        <v>88.48228098468155</v>
      </c>
      <c r="F131" s="1"/>
      <c r="G131" s="1"/>
      <c r="H131" s="48">
        <f t="shared" si="7"/>
        <v>0</v>
      </c>
      <c r="I131" s="55">
        <f t="shared" si="8"/>
        <v>1462158</v>
      </c>
      <c r="J131" s="56">
        <f t="shared" si="9"/>
        <v>1293750.75</v>
      </c>
      <c r="K131" s="57">
        <f t="shared" si="10"/>
        <v>88.48228098468155</v>
      </c>
      <c r="L131" s="118"/>
      <c r="M131" s="3"/>
      <c r="N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s="4" customFormat="1" ht="260.25" customHeight="1">
      <c r="A132" s="18">
        <v>41050600</v>
      </c>
      <c r="B132" s="2" t="s">
        <v>197</v>
      </c>
      <c r="C132" s="1"/>
      <c r="D132" s="1"/>
      <c r="E132" s="48">
        <f t="shared" si="6"/>
        <v>0</v>
      </c>
      <c r="F132" s="1">
        <v>1512988</v>
      </c>
      <c r="G132" s="1">
        <v>1512987.27</v>
      </c>
      <c r="H132" s="48">
        <f t="shared" si="7"/>
        <v>99.99995175110445</v>
      </c>
      <c r="I132" s="55">
        <f t="shared" si="8"/>
        <v>1512988</v>
      </c>
      <c r="J132" s="56">
        <f t="shared" si="9"/>
        <v>1512987.27</v>
      </c>
      <c r="K132" s="57">
        <f t="shared" si="10"/>
        <v>99.99995175110445</v>
      </c>
      <c r="L132" s="118"/>
      <c r="M132" s="3"/>
      <c r="N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s="4" customFormat="1" ht="164.25" customHeight="1">
      <c r="A133" s="18">
        <v>41050700</v>
      </c>
      <c r="B133" s="5" t="s">
        <v>179</v>
      </c>
      <c r="C133" s="1">
        <f>3600900-350000-130000</f>
        <v>3120900</v>
      </c>
      <c r="D133" s="1">
        <v>2948129.98</v>
      </c>
      <c r="E133" s="48">
        <f t="shared" si="6"/>
        <v>94.46409625428562</v>
      </c>
      <c r="F133" s="1"/>
      <c r="G133" s="1"/>
      <c r="H133" s="48">
        <f t="shared" si="7"/>
        <v>0</v>
      </c>
      <c r="I133" s="55">
        <f t="shared" si="8"/>
        <v>3120900</v>
      </c>
      <c r="J133" s="56">
        <f t="shared" si="9"/>
        <v>2948129.98</v>
      </c>
      <c r="K133" s="57">
        <f t="shared" si="10"/>
        <v>94.46409625428562</v>
      </c>
      <c r="L133" s="118"/>
      <c r="M133" s="3"/>
      <c r="N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 s="4" customFormat="1" ht="102.75" customHeight="1">
      <c r="A134" s="18">
        <v>41050900</v>
      </c>
      <c r="B134" s="41" t="s">
        <v>198</v>
      </c>
      <c r="C134" s="1">
        <f>3609965-2576177</f>
        <v>1033788</v>
      </c>
      <c r="D134" s="1">
        <v>1033788</v>
      </c>
      <c r="E134" s="48">
        <f t="shared" si="6"/>
        <v>100</v>
      </c>
      <c r="F134" s="1"/>
      <c r="G134" s="1"/>
      <c r="H134" s="48">
        <f t="shared" si="7"/>
        <v>0</v>
      </c>
      <c r="I134" s="55">
        <f t="shared" si="8"/>
        <v>1033788</v>
      </c>
      <c r="J134" s="56">
        <f t="shared" si="9"/>
        <v>1033788</v>
      </c>
      <c r="K134" s="57">
        <f t="shared" si="10"/>
        <v>100</v>
      </c>
      <c r="L134" s="118"/>
      <c r="M134" s="3"/>
      <c r="N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s="4" customFormat="1" ht="49.5" customHeight="1">
      <c r="A135" s="18">
        <v>41051000</v>
      </c>
      <c r="B135" s="41" t="s">
        <v>169</v>
      </c>
      <c r="C135" s="1">
        <f>1178720+1204400</f>
        <v>2383120</v>
      </c>
      <c r="D135" s="1">
        <v>1592854.77</v>
      </c>
      <c r="E135" s="48">
        <f t="shared" si="6"/>
        <v>66.83905006881736</v>
      </c>
      <c r="F135" s="1"/>
      <c r="G135" s="1"/>
      <c r="H135" s="48">
        <f t="shared" si="7"/>
        <v>0</v>
      </c>
      <c r="I135" s="55">
        <f t="shared" si="8"/>
        <v>2383120</v>
      </c>
      <c r="J135" s="56">
        <f t="shared" si="9"/>
        <v>1592854.77</v>
      </c>
      <c r="K135" s="57">
        <f t="shared" si="10"/>
        <v>66.83905006881736</v>
      </c>
      <c r="L135" s="130"/>
      <c r="M135" s="3"/>
      <c r="N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 s="4" customFormat="1" ht="43.5" customHeight="1">
      <c r="A136" s="18">
        <v>41051100</v>
      </c>
      <c r="B136" s="41" t="s">
        <v>180</v>
      </c>
      <c r="C136" s="1">
        <f>C140+C141+C137+C139+C138</f>
        <v>2751704.23</v>
      </c>
      <c r="D136" s="1">
        <f>D140+D141+D137+D139+D138</f>
        <v>2751704.23</v>
      </c>
      <c r="E136" s="48">
        <f t="shared" si="6"/>
        <v>100</v>
      </c>
      <c r="F136" s="1">
        <f>F140+F141+F137+F139</f>
        <v>3816000</v>
      </c>
      <c r="G136" s="1">
        <f>G140+G141+G137+G139</f>
        <v>3813590.25</v>
      </c>
      <c r="H136" s="48">
        <f t="shared" si="7"/>
        <v>99.93685141509434</v>
      </c>
      <c r="I136" s="55">
        <f t="shared" si="8"/>
        <v>6567704.23</v>
      </c>
      <c r="J136" s="56">
        <f t="shared" si="9"/>
        <v>6565294.48</v>
      </c>
      <c r="K136" s="57">
        <f t="shared" si="10"/>
        <v>99.96330909682271</v>
      </c>
      <c r="L136" s="130"/>
      <c r="M136" s="3"/>
      <c r="N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 s="95" customFormat="1" ht="51" customHeight="1" hidden="1">
      <c r="A137" s="87"/>
      <c r="B137" s="88" t="s">
        <v>188</v>
      </c>
      <c r="C137" s="98">
        <f>622000+1801100+148325+27616.23</f>
        <v>2599041.23</v>
      </c>
      <c r="D137" s="98">
        <v>2599041.23</v>
      </c>
      <c r="E137" s="99">
        <f t="shared" si="6"/>
        <v>100</v>
      </c>
      <c r="F137" s="98">
        <f>3528000+288000</f>
        <v>3816000</v>
      </c>
      <c r="G137" s="98">
        <v>3813590.25</v>
      </c>
      <c r="H137" s="99">
        <f t="shared" si="7"/>
        <v>99.93685141509434</v>
      </c>
      <c r="I137" s="91">
        <f t="shared" si="8"/>
        <v>6415041.23</v>
      </c>
      <c r="J137" s="92">
        <f t="shared" si="9"/>
        <v>6412631.48</v>
      </c>
      <c r="K137" s="93">
        <f t="shared" si="10"/>
        <v>99.96243593901266</v>
      </c>
      <c r="L137" s="130"/>
      <c r="M137" s="94"/>
      <c r="N137" s="94"/>
      <c r="IM137" s="94"/>
      <c r="IN137" s="94"/>
      <c r="IO137" s="94"/>
      <c r="IP137" s="94"/>
      <c r="IQ137" s="94"/>
      <c r="IR137" s="94"/>
      <c r="IS137" s="94"/>
      <c r="IT137" s="94"/>
      <c r="IU137" s="94"/>
    </row>
    <row r="138" spans="1:255" s="95" customFormat="1" ht="45" customHeight="1" hidden="1">
      <c r="A138" s="96"/>
      <c r="B138" s="88" t="s">
        <v>181</v>
      </c>
      <c r="C138" s="98">
        <v>152663</v>
      </c>
      <c r="D138" s="98">
        <v>152663</v>
      </c>
      <c r="E138" s="99">
        <f t="shared" si="6"/>
        <v>100</v>
      </c>
      <c r="F138" s="98"/>
      <c r="G138" s="98"/>
      <c r="H138" s="99">
        <f t="shared" si="7"/>
        <v>0</v>
      </c>
      <c r="I138" s="91">
        <f t="shared" si="8"/>
        <v>152663</v>
      </c>
      <c r="J138" s="92">
        <f t="shared" si="9"/>
        <v>152663</v>
      </c>
      <c r="K138" s="93">
        <f t="shared" si="10"/>
        <v>100</v>
      </c>
      <c r="L138" s="130"/>
      <c r="M138" s="94"/>
      <c r="N138" s="94"/>
      <c r="IM138" s="94"/>
      <c r="IN138" s="94"/>
      <c r="IO138" s="94"/>
      <c r="IP138" s="94"/>
      <c r="IQ138" s="94"/>
      <c r="IR138" s="94"/>
      <c r="IS138" s="94"/>
      <c r="IT138" s="94"/>
      <c r="IU138" s="94"/>
    </row>
    <row r="139" spans="1:255" s="4" customFormat="1" ht="79.5" customHeight="1" hidden="1">
      <c r="A139" s="45"/>
      <c r="B139" s="41" t="s">
        <v>153</v>
      </c>
      <c r="C139" s="1"/>
      <c r="D139" s="1"/>
      <c r="E139" s="48">
        <f t="shared" si="6"/>
        <v>0</v>
      </c>
      <c r="F139" s="1"/>
      <c r="G139" s="1"/>
      <c r="H139" s="48">
        <f t="shared" si="7"/>
        <v>0</v>
      </c>
      <c r="I139" s="55">
        <f t="shared" si="8"/>
        <v>0</v>
      </c>
      <c r="J139" s="56">
        <f t="shared" si="9"/>
        <v>0</v>
      </c>
      <c r="K139" s="57">
        <f t="shared" si="10"/>
        <v>0</v>
      </c>
      <c r="L139" s="130"/>
      <c r="M139" s="3"/>
      <c r="N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 s="4" customFormat="1" ht="56.25" customHeight="1" hidden="1">
      <c r="A140" s="45"/>
      <c r="B140" s="41" t="s">
        <v>146</v>
      </c>
      <c r="C140" s="1"/>
      <c r="D140" s="1"/>
      <c r="E140" s="48">
        <f t="shared" si="6"/>
        <v>0</v>
      </c>
      <c r="F140" s="1"/>
      <c r="G140" s="1"/>
      <c r="H140" s="48">
        <f t="shared" si="7"/>
        <v>0</v>
      </c>
      <c r="I140" s="55">
        <f t="shared" si="8"/>
        <v>0</v>
      </c>
      <c r="J140" s="56">
        <f t="shared" si="9"/>
        <v>0</v>
      </c>
      <c r="K140" s="57">
        <f t="shared" si="10"/>
        <v>0</v>
      </c>
      <c r="L140" s="130"/>
      <c r="M140" s="3"/>
      <c r="N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 s="4" customFormat="1" ht="43.5" customHeight="1" hidden="1">
      <c r="A141" s="46"/>
      <c r="B141" s="41" t="s">
        <v>150</v>
      </c>
      <c r="C141" s="1"/>
      <c r="D141" s="1"/>
      <c r="E141" s="48">
        <f aca="true" t="shared" si="11" ref="E141:E186">_xlfn.IFERROR(D141/C141*100,0)</f>
        <v>0</v>
      </c>
      <c r="F141" s="1"/>
      <c r="G141" s="1"/>
      <c r="H141" s="48">
        <f aca="true" t="shared" si="12" ref="H141:H186">_xlfn.IFERROR(G141/F141*100,0)</f>
        <v>0</v>
      </c>
      <c r="I141" s="55">
        <f t="shared" si="8"/>
        <v>0</v>
      </c>
      <c r="J141" s="56">
        <f t="shared" si="9"/>
        <v>0</v>
      </c>
      <c r="K141" s="57">
        <f t="shared" si="10"/>
        <v>0</v>
      </c>
      <c r="L141" s="130"/>
      <c r="M141" s="3"/>
      <c r="N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 s="4" customFormat="1" ht="55.5" customHeight="1">
      <c r="A142" s="18">
        <v>41051200</v>
      </c>
      <c r="B142" s="41" t="s">
        <v>170</v>
      </c>
      <c r="C142" s="1">
        <f>C143+C144+C146+C147+C148+C145</f>
        <v>1816604</v>
      </c>
      <c r="D142" s="1">
        <f>D143+D144+D146+D147+D148+D145</f>
        <v>1798354.72</v>
      </c>
      <c r="E142" s="48">
        <f t="shared" si="11"/>
        <v>98.9954178235873</v>
      </c>
      <c r="F142" s="1"/>
      <c r="G142" s="1"/>
      <c r="H142" s="48">
        <f t="shared" si="12"/>
        <v>0</v>
      </c>
      <c r="I142" s="55">
        <f t="shared" si="8"/>
        <v>1816604</v>
      </c>
      <c r="J142" s="56">
        <f t="shared" si="9"/>
        <v>1798354.72</v>
      </c>
      <c r="K142" s="57">
        <f t="shared" si="10"/>
        <v>98.9954178235873</v>
      </c>
      <c r="L142" s="130"/>
      <c r="M142" s="3"/>
      <c r="N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 s="95" customFormat="1" ht="42" customHeight="1" hidden="1">
      <c r="A143" s="87"/>
      <c r="B143" s="88" t="s">
        <v>213</v>
      </c>
      <c r="C143" s="89">
        <f>1033063-190117</f>
        <v>842946</v>
      </c>
      <c r="D143" s="89">
        <v>842840.72</v>
      </c>
      <c r="E143" s="90">
        <f t="shared" si="11"/>
        <v>99.98751046923527</v>
      </c>
      <c r="F143" s="89"/>
      <c r="G143" s="89"/>
      <c r="H143" s="90">
        <f t="shared" si="12"/>
        <v>0</v>
      </c>
      <c r="I143" s="91">
        <f aca="true" t="shared" si="13" ref="I143:I186">C143+F143</f>
        <v>842946</v>
      </c>
      <c r="J143" s="92">
        <f aca="true" t="shared" si="14" ref="J143:J186">D143+G143</f>
        <v>842840.72</v>
      </c>
      <c r="K143" s="93">
        <f aca="true" t="shared" si="15" ref="K143:K186">_xlfn.IFERROR(J143/I143*100,0)</f>
        <v>99.98751046923527</v>
      </c>
      <c r="L143" s="130"/>
      <c r="M143" s="94"/>
      <c r="N143" s="94"/>
      <c r="IM143" s="94"/>
      <c r="IN143" s="94"/>
      <c r="IO143" s="94"/>
      <c r="IP143" s="94"/>
      <c r="IQ143" s="94"/>
      <c r="IR143" s="94"/>
      <c r="IS143" s="94"/>
      <c r="IT143" s="94"/>
      <c r="IU143" s="94"/>
    </row>
    <row r="144" spans="1:255" s="95" customFormat="1" ht="30" customHeight="1" hidden="1">
      <c r="A144" s="96"/>
      <c r="B144" s="88" t="s">
        <v>214</v>
      </c>
      <c r="C144" s="89">
        <f>134786+233926-260712+1875</f>
        <v>109875</v>
      </c>
      <c r="D144" s="89">
        <v>109875</v>
      </c>
      <c r="E144" s="90">
        <f t="shared" si="11"/>
        <v>100</v>
      </c>
      <c r="F144" s="89"/>
      <c r="G144" s="89"/>
      <c r="H144" s="90">
        <f t="shared" si="12"/>
        <v>0</v>
      </c>
      <c r="I144" s="91">
        <f t="shared" si="13"/>
        <v>109875</v>
      </c>
      <c r="J144" s="92">
        <f t="shared" si="14"/>
        <v>109875</v>
      </c>
      <c r="K144" s="93">
        <f t="shared" si="15"/>
        <v>100</v>
      </c>
      <c r="L144" s="130"/>
      <c r="M144" s="94"/>
      <c r="N144" s="94"/>
      <c r="IM144" s="94"/>
      <c r="IN144" s="94"/>
      <c r="IO144" s="94"/>
      <c r="IP144" s="94"/>
      <c r="IQ144" s="94"/>
      <c r="IR144" s="94"/>
      <c r="IS144" s="94"/>
      <c r="IT144" s="94"/>
      <c r="IU144" s="94"/>
    </row>
    <row r="145" spans="1:255" s="95" customFormat="1" ht="45" customHeight="1" hidden="1">
      <c r="A145" s="96"/>
      <c r="B145" s="88" t="s">
        <v>215</v>
      </c>
      <c r="C145" s="89">
        <f>260712</f>
        <v>260712</v>
      </c>
      <c r="D145" s="89">
        <v>251384.94</v>
      </c>
      <c r="E145" s="90">
        <f t="shared" si="11"/>
        <v>96.42246616956642</v>
      </c>
      <c r="F145" s="89"/>
      <c r="G145" s="89"/>
      <c r="H145" s="90">
        <f t="shared" si="12"/>
        <v>0</v>
      </c>
      <c r="I145" s="91">
        <f t="shared" si="13"/>
        <v>260712</v>
      </c>
      <c r="J145" s="92">
        <f t="shared" si="14"/>
        <v>251384.94</v>
      </c>
      <c r="K145" s="93">
        <f t="shared" si="15"/>
        <v>96.42246616956642</v>
      </c>
      <c r="L145" s="130"/>
      <c r="M145" s="94"/>
      <c r="N145" s="94"/>
      <c r="IM145" s="94"/>
      <c r="IN145" s="94"/>
      <c r="IO145" s="94"/>
      <c r="IP145" s="94"/>
      <c r="IQ145" s="94"/>
      <c r="IR145" s="94"/>
      <c r="IS145" s="94"/>
      <c r="IT145" s="94"/>
      <c r="IU145" s="94"/>
    </row>
    <row r="146" spans="1:255" s="95" customFormat="1" ht="45" customHeight="1" hidden="1">
      <c r="A146" s="96"/>
      <c r="B146" s="88" t="s">
        <v>216</v>
      </c>
      <c r="C146" s="89">
        <v>44000</v>
      </c>
      <c r="D146" s="89">
        <v>35653.06</v>
      </c>
      <c r="E146" s="90">
        <f t="shared" si="11"/>
        <v>81.02968181818181</v>
      </c>
      <c r="F146" s="89"/>
      <c r="G146" s="89"/>
      <c r="H146" s="90">
        <f t="shared" si="12"/>
        <v>0</v>
      </c>
      <c r="I146" s="91">
        <f t="shared" si="13"/>
        <v>44000</v>
      </c>
      <c r="J146" s="92">
        <f t="shared" si="14"/>
        <v>35653.06</v>
      </c>
      <c r="K146" s="93">
        <f t="shared" si="15"/>
        <v>81.02968181818181</v>
      </c>
      <c r="L146" s="130"/>
      <c r="M146" s="94"/>
      <c r="N146" s="94"/>
      <c r="IM146" s="94"/>
      <c r="IN146" s="94"/>
      <c r="IO146" s="94"/>
      <c r="IP146" s="94"/>
      <c r="IQ146" s="94"/>
      <c r="IR146" s="94"/>
      <c r="IS146" s="94"/>
      <c r="IT146" s="94"/>
      <c r="IU146" s="94"/>
    </row>
    <row r="147" spans="1:255" s="95" customFormat="1" ht="40.5" customHeight="1" hidden="1">
      <c r="A147" s="96"/>
      <c r="B147" s="88" t="s">
        <v>217</v>
      </c>
      <c r="C147" s="89">
        <v>24000</v>
      </c>
      <c r="D147" s="89">
        <v>23530</v>
      </c>
      <c r="E147" s="90">
        <f t="shared" si="11"/>
        <v>98.04166666666667</v>
      </c>
      <c r="F147" s="89"/>
      <c r="G147" s="89"/>
      <c r="H147" s="90">
        <f t="shared" si="12"/>
        <v>0</v>
      </c>
      <c r="I147" s="91">
        <f t="shared" si="13"/>
        <v>24000</v>
      </c>
      <c r="J147" s="92">
        <f t="shared" si="14"/>
        <v>23530</v>
      </c>
      <c r="K147" s="93">
        <f t="shared" si="15"/>
        <v>98.04166666666667</v>
      </c>
      <c r="L147" s="130"/>
      <c r="M147" s="94"/>
      <c r="N147" s="94"/>
      <c r="IM147" s="94"/>
      <c r="IN147" s="94"/>
      <c r="IO147" s="94"/>
      <c r="IP147" s="94"/>
      <c r="IQ147" s="94"/>
      <c r="IR147" s="94"/>
      <c r="IS147" s="94"/>
      <c r="IT147" s="94"/>
      <c r="IU147" s="94"/>
    </row>
    <row r="148" spans="1:255" s="95" customFormat="1" ht="44.25" customHeight="1" hidden="1">
      <c r="A148" s="97"/>
      <c r="B148" s="88" t="s">
        <v>218</v>
      </c>
      <c r="C148" s="89">
        <v>535071</v>
      </c>
      <c r="D148" s="89">
        <v>535071</v>
      </c>
      <c r="E148" s="90">
        <f t="shared" si="11"/>
        <v>100</v>
      </c>
      <c r="F148" s="89"/>
      <c r="G148" s="89"/>
      <c r="H148" s="90">
        <f t="shared" si="12"/>
        <v>0</v>
      </c>
      <c r="I148" s="91">
        <f t="shared" si="13"/>
        <v>535071</v>
      </c>
      <c r="J148" s="92">
        <f t="shared" si="14"/>
        <v>535071</v>
      </c>
      <c r="K148" s="93">
        <f t="shared" si="15"/>
        <v>100</v>
      </c>
      <c r="L148" s="130"/>
      <c r="M148" s="94"/>
      <c r="N148" s="94"/>
      <c r="IM148" s="94"/>
      <c r="IN148" s="94"/>
      <c r="IO148" s="94"/>
      <c r="IP148" s="94"/>
      <c r="IQ148" s="94"/>
      <c r="IR148" s="94"/>
      <c r="IS148" s="94"/>
      <c r="IT148" s="94"/>
      <c r="IU148" s="94"/>
    </row>
    <row r="149" spans="1:255" s="4" customFormat="1" ht="60">
      <c r="A149" s="18">
        <v>41051400</v>
      </c>
      <c r="B149" s="41" t="s">
        <v>184</v>
      </c>
      <c r="C149" s="1">
        <f>C150+C151+C152</f>
        <v>4952933.51</v>
      </c>
      <c r="D149" s="1">
        <f>D150+D151+D152</f>
        <v>4952933.51</v>
      </c>
      <c r="E149" s="48">
        <f t="shared" si="11"/>
        <v>100</v>
      </c>
      <c r="F149" s="1"/>
      <c r="G149" s="1"/>
      <c r="H149" s="48">
        <f t="shared" si="12"/>
        <v>0</v>
      </c>
      <c r="I149" s="55">
        <f t="shared" si="13"/>
        <v>4952933.51</v>
      </c>
      <c r="J149" s="56">
        <f t="shared" si="14"/>
        <v>4952933.51</v>
      </c>
      <c r="K149" s="57">
        <f t="shared" si="15"/>
        <v>100</v>
      </c>
      <c r="L149" s="130"/>
      <c r="M149" s="3"/>
      <c r="N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 s="95" customFormat="1" ht="61.5" customHeight="1" hidden="1">
      <c r="A150" s="127"/>
      <c r="B150" s="88" t="s">
        <v>189</v>
      </c>
      <c r="C150" s="98">
        <f>1264105-963.29</f>
        <v>1263141.71</v>
      </c>
      <c r="D150" s="98">
        <v>1263141.71</v>
      </c>
      <c r="E150" s="99">
        <f t="shared" si="11"/>
        <v>100</v>
      </c>
      <c r="F150" s="98"/>
      <c r="G150" s="98"/>
      <c r="H150" s="99">
        <f t="shared" si="12"/>
        <v>0</v>
      </c>
      <c r="I150" s="91">
        <f t="shared" si="13"/>
        <v>1263141.71</v>
      </c>
      <c r="J150" s="92">
        <f t="shared" si="14"/>
        <v>1263141.71</v>
      </c>
      <c r="K150" s="93">
        <f t="shared" si="15"/>
        <v>100</v>
      </c>
      <c r="L150" s="130"/>
      <c r="M150" s="94"/>
      <c r="N150" s="94"/>
      <c r="IM150" s="94"/>
      <c r="IN150" s="94"/>
      <c r="IO150" s="94"/>
      <c r="IP150" s="94"/>
      <c r="IQ150" s="94"/>
      <c r="IR150" s="94"/>
      <c r="IS150" s="94"/>
      <c r="IT150" s="94"/>
      <c r="IU150" s="94"/>
    </row>
    <row r="151" spans="1:255" s="95" customFormat="1" ht="27.75" customHeight="1" hidden="1">
      <c r="A151" s="128"/>
      <c r="B151" s="88" t="s">
        <v>154</v>
      </c>
      <c r="C151" s="98">
        <v>2954121</v>
      </c>
      <c r="D151" s="98">
        <v>2954121</v>
      </c>
      <c r="E151" s="99">
        <f t="shared" si="11"/>
        <v>100</v>
      </c>
      <c r="F151" s="98"/>
      <c r="G151" s="98"/>
      <c r="H151" s="99">
        <f t="shared" si="12"/>
        <v>0</v>
      </c>
      <c r="I151" s="91">
        <f t="shared" si="13"/>
        <v>2954121</v>
      </c>
      <c r="J151" s="92">
        <f t="shared" si="14"/>
        <v>2954121</v>
      </c>
      <c r="K151" s="93">
        <f t="shared" si="15"/>
        <v>100</v>
      </c>
      <c r="L151" s="130"/>
      <c r="M151" s="94"/>
      <c r="N151" s="94"/>
      <c r="IM151" s="94"/>
      <c r="IN151" s="94"/>
      <c r="IO151" s="94"/>
      <c r="IP151" s="94"/>
      <c r="IQ151" s="94"/>
      <c r="IR151" s="94"/>
      <c r="IS151" s="94"/>
      <c r="IT151" s="94"/>
      <c r="IU151" s="94"/>
    </row>
    <row r="152" spans="1:255" s="95" customFormat="1" ht="48" customHeight="1" hidden="1">
      <c r="A152" s="129"/>
      <c r="B152" s="88" t="s">
        <v>185</v>
      </c>
      <c r="C152" s="98">
        <f>738437-2766.2</f>
        <v>735670.8</v>
      </c>
      <c r="D152" s="98">
        <v>735670.8</v>
      </c>
      <c r="E152" s="99">
        <f t="shared" si="11"/>
        <v>100</v>
      </c>
      <c r="F152" s="98"/>
      <c r="G152" s="98"/>
      <c r="H152" s="99">
        <f t="shared" si="12"/>
        <v>0</v>
      </c>
      <c r="I152" s="91">
        <f t="shared" si="13"/>
        <v>735670.8</v>
      </c>
      <c r="J152" s="92">
        <f t="shared" si="14"/>
        <v>735670.8</v>
      </c>
      <c r="K152" s="93">
        <f t="shared" si="15"/>
        <v>100</v>
      </c>
      <c r="L152" s="130"/>
      <c r="M152" s="94"/>
      <c r="N152" s="94"/>
      <c r="IM152" s="94"/>
      <c r="IN152" s="94"/>
      <c r="IO152" s="94"/>
      <c r="IP152" s="94"/>
      <c r="IQ152" s="94"/>
      <c r="IR152" s="94"/>
      <c r="IS152" s="94"/>
      <c r="IT152" s="94"/>
      <c r="IU152" s="94"/>
    </row>
    <row r="153" spans="1:255" s="4" customFormat="1" ht="45.75" customHeight="1">
      <c r="A153" s="46">
        <v>41051500</v>
      </c>
      <c r="B153" s="41" t="s">
        <v>171</v>
      </c>
      <c r="C153" s="1">
        <f>C154+C158+C159</f>
        <v>17846130</v>
      </c>
      <c r="D153" s="1">
        <f>D154+D158+D159</f>
        <v>17846130</v>
      </c>
      <c r="E153" s="48">
        <f t="shared" si="11"/>
        <v>100</v>
      </c>
      <c r="F153" s="1"/>
      <c r="G153" s="1"/>
      <c r="H153" s="48">
        <f t="shared" si="12"/>
        <v>0</v>
      </c>
      <c r="I153" s="55">
        <f t="shared" si="13"/>
        <v>17846130</v>
      </c>
      <c r="J153" s="56">
        <f t="shared" si="14"/>
        <v>17846130</v>
      </c>
      <c r="K153" s="57">
        <f t="shared" si="15"/>
        <v>100</v>
      </c>
      <c r="L153" s="130"/>
      <c r="M153" s="3"/>
      <c r="N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 s="108" customFormat="1" ht="20.25" customHeight="1" hidden="1">
      <c r="A154" s="100"/>
      <c r="B154" s="101" t="s">
        <v>148</v>
      </c>
      <c r="C154" s="102">
        <f>C155+C156+C157</f>
        <v>16355230</v>
      </c>
      <c r="D154" s="102">
        <f>D155+D156+D157</f>
        <v>16355230</v>
      </c>
      <c r="E154" s="103">
        <f t="shared" si="11"/>
        <v>100</v>
      </c>
      <c r="F154" s="102"/>
      <c r="G154" s="102"/>
      <c r="H154" s="103">
        <f t="shared" si="12"/>
        <v>0</v>
      </c>
      <c r="I154" s="104">
        <f t="shared" si="13"/>
        <v>16355230</v>
      </c>
      <c r="J154" s="105">
        <f t="shared" si="14"/>
        <v>16355230</v>
      </c>
      <c r="K154" s="106">
        <f t="shared" si="15"/>
        <v>100</v>
      </c>
      <c r="L154" s="130"/>
      <c r="M154" s="107"/>
      <c r="N154" s="107"/>
      <c r="IM154" s="107"/>
      <c r="IN154" s="107"/>
      <c r="IO154" s="107"/>
      <c r="IP154" s="107"/>
      <c r="IQ154" s="107"/>
      <c r="IR154" s="107"/>
      <c r="IS154" s="107"/>
      <c r="IT154" s="107"/>
      <c r="IU154" s="107"/>
    </row>
    <row r="155" spans="1:255" s="95" customFormat="1" ht="32.25" customHeight="1" hidden="1">
      <c r="A155" s="109"/>
      <c r="B155" s="88" t="s">
        <v>134</v>
      </c>
      <c r="C155" s="98">
        <f>10489630+660000</f>
        <v>11149630</v>
      </c>
      <c r="D155" s="98">
        <v>11149630</v>
      </c>
      <c r="E155" s="99">
        <f t="shared" si="11"/>
        <v>100</v>
      </c>
      <c r="F155" s="98"/>
      <c r="G155" s="98"/>
      <c r="H155" s="99">
        <f t="shared" si="12"/>
        <v>0</v>
      </c>
      <c r="I155" s="91">
        <f t="shared" si="13"/>
        <v>11149630</v>
      </c>
      <c r="J155" s="92">
        <f t="shared" si="14"/>
        <v>11149630</v>
      </c>
      <c r="K155" s="93">
        <f t="shared" si="15"/>
        <v>100</v>
      </c>
      <c r="L155" s="130"/>
      <c r="M155" s="94"/>
      <c r="N155" s="94"/>
      <c r="IM155" s="94"/>
      <c r="IN155" s="94"/>
      <c r="IO155" s="94"/>
      <c r="IP155" s="94"/>
      <c r="IQ155" s="94"/>
      <c r="IR155" s="94"/>
      <c r="IS155" s="94"/>
      <c r="IT155" s="94"/>
      <c r="IU155" s="94"/>
    </row>
    <row r="156" spans="1:255" s="95" customFormat="1" ht="30.75" customHeight="1" hidden="1">
      <c r="A156" s="109"/>
      <c r="B156" s="88" t="s">
        <v>135</v>
      </c>
      <c r="C156" s="98">
        <v>4580500</v>
      </c>
      <c r="D156" s="98">
        <v>4580500</v>
      </c>
      <c r="E156" s="99">
        <f t="shared" si="11"/>
        <v>100</v>
      </c>
      <c r="F156" s="98"/>
      <c r="G156" s="98"/>
      <c r="H156" s="99">
        <f t="shared" si="12"/>
        <v>0</v>
      </c>
      <c r="I156" s="91">
        <f t="shared" si="13"/>
        <v>4580500</v>
      </c>
      <c r="J156" s="92">
        <f t="shared" si="14"/>
        <v>4580500</v>
      </c>
      <c r="K156" s="93">
        <f t="shared" si="15"/>
        <v>100</v>
      </c>
      <c r="L156" s="130"/>
      <c r="M156" s="94"/>
      <c r="N156" s="94"/>
      <c r="IM156" s="94"/>
      <c r="IN156" s="94"/>
      <c r="IO156" s="94"/>
      <c r="IP156" s="94"/>
      <c r="IQ156" s="94"/>
      <c r="IR156" s="94"/>
      <c r="IS156" s="94"/>
      <c r="IT156" s="94"/>
      <c r="IU156" s="94"/>
    </row>
    <row r="157" spans="1:255" s="95" customFormat="1" ht="30.75" customHeight="1" hidden="1">
      <c r="A157" s="109"/>
      <c r="B157" s="88" t="s">
        <v>187</v>
      </c>
      <c r="C157" s="98">
        <v>625100</v>
      </c>
      <c r="D157" s="98">
        <v>625100</v>
      </c>
      <c r="E157" s="99">
        <f t="shared" si="11"/>
        <v>100</v>
      </c>
      <c r="F157" s="98"/>
      <c r="G157" s="98"/>
      <c r="H157" s="99">
        <f t="shared" si="12"/>
        <v>0</v>
      </c>
      <c r="I157" s="91">
        <f t="shared" si="13"/>
        <v>625100</v>
      </c>
      <c r="J157" s="92">
        <f t="shared" si="14"/>
        <v>625100</v>
      </c>
      <c r="K157" s="93">
        <f t="shared" si="15"/>
        <v>100</v>
      </c>
      <c r="L157" s="130"/>
      <c r="M157" s="94"/>
      <c r="N157" s="94"/>
      <c r="IM157" s="94"/>
      <c r="IN157" s="94"/>
      <c r="IO157" s="94"/>
      <c r="IP157" s="94"/>
      <c r="IQ157" s="94"/>
      <c r="IR157" s="94"/>
      <c r="IS157" s="94"/>
      <c r="IT157" s="94"/>
      <c r="IU157" s="94"/>
    </row>
    <row r="158" spans="1:255" s="95" customFormat="1" ht="90" customHeight="1" hidden="1">
      <c r="A158" s="109"/>
      <c r="B158" s="88" t="s">
        <v>182</v>
      </c>
      <c r="C158" s="98">
        <f>400000+300000</f>
        <v>700000</v>
      </c>
      <c r="D158" s="98">
        <v>700000</v>
      </c>
      <c r="E158" s="99">
        <f t="shared" si="11"/>
        <v>100</v>
      </c>
      <c r="F158" s="98"/>
      <c r="G158" s="98"/>
      <c r="H158" s="99">
        <f t="shared" si="12"/>
        <v>0</v>
      </c>
      <c r="I158" s="91">
        <f t="shared" si="13"/>
        <v>700000</v>
      </c>
      <c r="J158" s="92">
        <f t="shared" si="14"/>
        <v>700000</v>
      </c>
      <c r="K158" s="93">
        <f t="shared" si="15"/>
        <v>100</v>
      </c>
      <c r="L158" s="130"/>
      <c r="M158" s="94"/>
      <c r="N158" s="94"/>
      <c r="IM158" s="94"/>
      <c r="IN158" s="94"/>
      <c r="IO158" s="94"/>
      <c r="IP158" s="94"/>
      <c r="IQ158" s="94"/>
      <c r="IR158" s="94"/>
      <c r="IS158" s="94"/>
      <c r="IT158" s="94"/>
      <c r="IU158" s="94"/>
    </row>
    <row r="159" spans="1:255" s="95" customFormat="1" ht="58.5" customHeight="1" hidden="1">
      <c r="A159" s="110"/>
      <c r="B159" s="88" t="s">
        <v>183</v>
      </c>
      <c r="C159" s="98">
        <v>790900</v>
      </c>
      <c r="D159" s="98">
        <v>790900</v>
      </c>
      <c r="E159" s="99">
        <f t="shared" si="11"/>
        <v>100</v>
      </c>
      <c r="F159" s="98"/>
      <c r="G159" s="98"/>
      <c r="H159" s="99">
        <f t="shared" si="12"/>
        <v>0</v>
      </c>
      <c r="I159" s="91">
        <f t="shared" si="13"/>
        <v>790900</v>
      </c>
      <c r="J159" s="92">
        <f t="shared" si="14"/>
        <v>790900</v>
      </c>
      <c r="K159" s="93">
        <f t="shared" si="15"/>
        <v>100</v>
      </c>
      <c r="L159" s="130"/>
      <c r="M159" s="94"/>
      <c r="N159" s="94"/>
      <c r="IM159" s="94"/>
      <c r="IN159" s="94"/>
      <c r="IO159" s="94"/>
      <c r="IP159" s="94"/>
      <c r="IQ159" s="94"/>
      <c r="IR159" s="94"/>
      <c r="IS159" s="94"/>
      <c r="IT159" s="94"/>
      <c r="IU159" s="94"/>
    </row>
    <row r="160" spans="1:255" s="4" customFormat="1" ht="60">
      <c r="A160" s="46">
        <v>41052000</v>
      </c>
      <c r="B160" s="5" t="s">
        <v>136</v>
      </c>
      <c r="C160" s="1">
        <f>1465420-9120</f>
        <v>1456300</v>
      </c>
      <c r="D160" s="1">
        <v>1456294.8</v>
      </c>
      <c r="E160" s="48">
        <f t="shared" si="11"/>
        <v>99.99964293071483</v>
      </c>
      <c r="F160" s="1"/>
      <c r="G160" s="1"/>
      <c r="H160" s="48">
        <f t="shared" si="12"/>
        <v>0</v>
      </c>
      <c r="I160" s="55">
        <f t="shared" si="13"/>
        <v>1456300</v>
      </c>
      <c r="J160" s="56">
        <f t="shared" si="14"/>
        <v>1456294.8</v>
      </c>
      <c r="K160" s="57">
        <f t="shared" si="15"/>
        <v>99.99964293071483</v>
      </c>
      <c r="L160" s="130"/>
      <c r="M160" s="3"/>
      <c r="N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 s="4" customFormat="1" ht="69.75" customHeight="1">
      <c r="A161" s="46">
        <v>41052600</v>
      </c>
      <c r="B161" s="5" t="s">
        <v>156</v>
      </c>
      <c r="C161" s="1"/>
      <c r="D161" s="1"/>
      <c r="E161" s="48">
        <f t="shared" si="11"/>
        <v>0</v>
      </c>
      <c r="F161" s="1">
        <v>49000000</v>
      </c>
      <c r="G161" s="1">
        <v>48943385.64</v>
      </c>
      <c r="H161" s="48">
        <f t="shared" si="12"/>
        <v>99.88446048979593</v>
      </c>
      <c r="I161" s="55">
        <f t="shared" si="13"/>
        <v>49000000</v>
      </c>
      <c r="J161" s="56">
        <f t="shared" si="14"/>
        <v>48943385.64</v>
      </c>
      <c r="K161" s="57">
        <f t="shared" si="15"/>
        <v>99.88446048979593</v>
      </c>
      <c r="L161" s="130"/>
      <c r="M161" s="3"/>
      <c r="N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 s="4" customFormat="1" ht="195" customHeight="1" hidden="1">
      <c r="A162" s="46">
        <v>41052900</v>
      </c>
      <c r="B162" s="5" t="s">
        <v>151</v>
      </c>
      <c r="C162" s="1"/>
      <c r="D162" s="1"/>
      <c r="E162" s="48">
        <f t="shared" si="11"/>
        <v>0</v>
      </c>
      <c r="F162" s="1"/>
      <c r="G162" s="1"/>
      <c r="H162" s="48">
        <f t="shared" si="12"/>
        <v>0</v>
      </c>
      <c r="I162" s="55">
        <f t="shared" si="13"/>
        <v>0</v>
      </c>
      <c r="J162" s="56">
        <f t="shared" si="14"/>
        <v>0</v>
      </c>
      <c r="K162" s="57">
        <f t="shared" si="15"/>
        <v>0</v>
      </c>
      <c r="L162" s="130"/>
      <c r="M162" s="3"/>
      <c r="N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 s="4" customFormat="1" ht="45" customHeight="1">
      <c r="A163" s="18">
        <v>41053300</v>
      </c>
      <c r="B163" s="5" t="s">
        <v>140</v>
      </c>
      <c r="C163" s="1">
        <f>37510+5000+188450+80000+28130</f>
        <v>339090</v>
      </c>
      <c r="D163" s="1">
        <v>339090</v>
      </c>
      <c r="E163" s="48">
        <f t="shared" si="11"/>
        <v>100</v>
      </c>
      <c r="F163" s="1"/>
      <c r="G163" s="1"/>
      <c r="H163" s="48">
        <f t="shared" si="12"/>
        <v>0</v>
      </c>
      <c r="I163" s="55">
        <f t="shared" si="13"/>
        <v>339090</v>
      </c>
      <c r="J163" s="56">
        <f t="shared" si="14"/>
        <v>339090</v>
      </c>
      <c r="K163" s="57">
        <f t="shared" si="15"/>
        <v>100</v>
      </c>
      <c r="L163" s="130"/>
      <c r="M163" s="3"/>
      <c r="N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 s="4" customFormat="1" ht="19.5" customHeight="1">
      <c r="A164" s="18">
        <v>41053900</v>
      </c>
      <c r="B164" s="5" t="s">
        <v>172</v>
      </c>
      <c r="C164" s="1">
        <f>C165+C178</f>
        <v>6211534.82</v>
      </c>
      <c r="D164" s="1">
        <f>D165+D178</f>
        <v>6066651.49</v>
      </c>
      <c r="E164" s="48">
        <f t="shared" si="11"/>
        <v>97.66751158613</v>
      </c>
      <c r="F164" s="1">
        <f>F165</f>
        <v>364000</v>
      </c>
      <c r="G164" s="1">
        <f>G165</f>
        <v>364000</v>
      </c>
      <c r="H164" s="48">
        <f t="shared" si="12"/>
        <v>100</v>
      </c>
      <c r="I164" s="55">
        <f t="shared" si="13"/>
        <v>6575534.82</v>
      </c>
      <c r="J164" s="56">
        <f t="shared" si="14"/>
        <v>6430651.49</v>
      </c>
      <c r="K164" s="57">
        <f t="shared" si="15"/>
        <v>97.79663048001318</v>
      </c>
      <c r="L164" s="130"/>
      <c r="M164" s="3"/>
      <c r="N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 s="108" customFormat="1" ht="19.5" customHeight="1" hidden="1">
      <c r="A165" s="132"/>
      <c r="B165" s="101" t="s">
        <v>148</v>
      </c>
      <c r="C165" s="102">
        <f>C166+C167+C168+C169+C170+C171+C172+C173+C174+C177+C176+C175</f>
        <v>5990631.82</v>
      </c>
      <c r="D165" s="102">
        <f>D166+D167+D168+D169+D170+D171+D172+D173+D174+D177+D176+D175</f>
        <v>5845748.49</v>
      </c>
      <c r="E165" s="103">
        <f t="shared" si="11"/>
        <v>97.58150167873278</v>
      </c>
      <c r="F165" s="102">
        <f>F176+F177</f>
        <v>364000</v>
      </c>
      <c r="G165" s="102">
        <f>G176+G177</f>
        <v>364000</v>
      </c>
      <c r="H165" s="103">
        <f t="shared" si="12"/>
        <v>100</v>
      </c>
      <c r="I165" s="104">
        <f t="shared" si="13"/>
        <v>6354631.82</v>
      </c>
      <c r="J165" s="105">
        <f t="shared" si="14"/>
        <v>6209748.49</v>
      </c>
      <c r="K165" s="106">
        <f t="shared" si="15"/>
        <v>97.72003580846325</v>
      </c>
      <c r="L165" s="130"/>
      <c r="M165" s="107"/>
      <c r="N165" s="107"/>
      <c r="IM165" s="107"/>
      <c r="IN165" s="107"/>
      <c r="IO165" s="107"/>
      <c r="IP165" s="107"/>
      <c r="IQ165" s="107"/>
      <c r="IR165" s="107"/>
      <c r="IS165" s="107"/>
      <c r="IT165" s="107"/>
      <c r="IU165" s="107"/>
    </row>
    <row r="166" spans="1:255" s="95" customFormat="1" ht="135" customHeight="1" hidden="1">
      <c r="A166" s="133"/>
      <c r="B166" s="88" t="s">
        <v>161</v>
      </c>
      <c r="C166" s="98">
        <f>61200+1000000-35620.69</f>
        <v>1025579.31</v>
      </c>
      <c r="D166" s="98">
        <v>1025579.3099999999</v>
      </c>
      <c r="E166" s="99">
        <f t="shared" si="11"/>
        <v>99.99999999999999</v>
      </c>
      <c r="F166" s="98"/>
      <c r="G166" s="98"/>
      <c r="H166" s="99">
        <f t="shared" si="12"/>
        <v>0</v>
      </c>
      <c r="I166" s="91">
        <f t="shared" si="13"/>
        <v>1025579.31</v>
      </c>
      <c r="J166" s="92">
        <f t="shared" si="14"/>
        <v>1025579.3099999999</v>
      </c>
      <c r="K166" s="93">
        <f t="shared" si="15"/>
        <v>99.99999999999999</v>
      </c>
      <c r="L166" s="130"/>
      <c r="M166" s="94"/>
      <c r="N166" s="94"/>
      <c r="IM166" s="94"/>
      <c r="IN166" s="94"/>
      <c r="IO166" s="94"/>
      <c r="IP166" s="94"/>
      <c r="IQ166" s="94"/>
      <c r="IR166" s="94"/>
      <c r="IS166" s="94"/>
      <c r="IT166" s="94"/>
      <c r="IU166" s="94"/>
    </row>
    <row r="167" spans="1:255" s="95" customFormat="1" ht="30.75" customHeight="1" hidden="1">
      <c r="A167" s="133"/>
      <c r="B167" s="88" t="s">
        <v>149</v>
      </c>
      <c r="C167" s="98">
        <f>19700+144346.67+200000+68806.9+134947.94</f>
        <v>567801.51</v>
      </c>
      <c r="D167" s="98">
        <v>567801.51</v>
      </c>
      <c r="E167" s="99">
        <f t="shared" si="11"/>
        <v>100</v>
      </c>
      <c r="F167" s="98"/>
      <c r="G167" s="98"/>
      <c r="H167" s="99">
        <f t="shared" si="12"/>
        <v>0</v>
      </c>
      <c r="I167" s="91">
        <f t="shared" si="13"/>
        <v>567801.51</v>
      </c>
      <c r="J167" s="92">
        <f t="shared" si="14"/>
        <v>567801.51</v>
      </c>
      <c r="K167" s="93">
        <f t="shared" si="15"/>
        <v>100</v>
      </c>
      <c r="L167" s="130"/>
      <c r="M167" s="94"/>
      <c r="N167" s="94"/>
      <c r="IM167" s="94"/>
      <c r="IN167" s="94"/>
      <c r="IO167" s="94"/>
      <c r="IP167" s="94"/>
      <c r="IQ167" s="94"/>
      <c r="IR167" s="94"/>
      <c r="IS167" s="94"/>
      <c r="IT167" s="94"/>
      <c r="IU167" s="94"/>
    </row>
    <row r="168" spans="1:255" s="95" customFormat="1" ht="105" customHeight="1" hidden="1">
      <c r="A168" s="133"/>
      <c r="B168" s="88" t="s">
        <v>173</v>
      </c>
      <c r="C168" s="98">
        <v>317300</v>
      </c>
      <c r="D168" s="98">
        <v>316800</v>
      </c>
      <c r="E168" s="99">
        <f t="shared" si="11"/>
        <v>99.84242042231327</v>
      </c>
      <c r="F168" s="98"/>
      <c r="G168" s="98"/>
      <c r="H168" s="99">
        <f t="shared" si="12"/>
        <v>0</v>
      </c>
      <c r="I168" s="91">
        <f t="shared" si="13"/>
        <v>317300</v>
      </c>
      <c r="J168" s="92">
        <f t="shared" si="14"/>
        <v>316800</v>
      </c>
      <c r="K168" s="93">
        <f t="shared" si="15"/>
        <v>99.84242042231327</v>
      </c>
      <c r="L168" s="130"/>
      <c r="M168" s="94"/>
      <c r="N168" s="94"/>
      <c r="IM168" s="94"/>
      <c r="IN168" s="94"/>
      <c r="IO168" s="94"/>
      <c r="IP168" s="94"/>
      <c r="IQ168" s="94"/>
      <c r="IR168" s="94"/>
      <c r="IS168" s="94"/>
      <c r="IT168" s="94"/>
      <c r="IU168" s="94"/>
    </row>
    <row r="169" spans="1:255" s="95" customFormat="1" ht="30" customHeight="1" hidden="1">
      <c r="A169" s="133"/>
      <c r="B169" s="88" t="s">
        <v>174</v>
      </c>
      <c r="C169" s="98">
        <v>680</v>
      </c>
      <c r="D169" s="98"/>
      <c r="E169" s="99">
        <f t="shared" si="11"/>
        <v>0</v>
      </c>
      <c r="F169" s="98"/>
      <c r="G169" s="98"/>
      <c r="H169" s="99">
        <f t="shared" si="12"/>
        <v>0</v>
      </c>
      <c r="I169" s="91">
        <f t="shared" si="13"/>
        <v>680</v>
      </c>
      <c r="J169" s="92">
        <f t="shared" si="14"/>
        <v>0</v>
      </c>
      <c r="K169" s="93">
        <f t="shared" si="15"/>
        <v>0</v>
      </c>
      <c r="L169" s="130"/>
      <c r="M169" s="94"/>
      <c r="N169" s="94"/>
      <c r="IM169" s="94"/>
      <c r="IN169" s="94"/>
      <c r="IO169" s="94"/>
      <c r="IP169" s="94"/>
      <c r="IQ169" s="94"/>
      <c r="IR169" s="94"/>
      <c r="IS169" s="94"/>
      <c r="IT169" s="94"/>
      <c r="IU169" s="94"/>
    </row>
    <row r="170" spans="1:255" s="95" customFormat="1" ht="34.5" customHeight="1" hidden="1">
      <c r="A170" s="133"/>
      <c r="B170" s="88" t="s">
        <v>137</v>
      </c>
      <c r="C170" s="98">
        <v>686000</v>
      </c>
      <c r="D170" s="98">
        <v>685801.1900000001</v>
      </c>
      <c r="E170" s="99">
        <f t="shared" si="11"/>
        <v>99.97101895043733</v>
      </c>
      <c r="F170" s="98"/>
      <c r="G170" s="98"/>
      <c r="H170" s="99">
        <f t="shared" si="12"/>
        <v>0</v>
      </c>
      <c r="I170" s="91">
        <f t="shared" si="13"/>
        <v>686000</v>
      </c>
      <c r="J170" s="92">
        <f t="shared" si="14"/>
        <v>685801.1900000001</v>
      </c>
      <c r="K170" s="93">
        <f t="shared" si="15"/>
        <v>99.97101895043733</v>
      </c>
      <c r="L170" s="130"/>
      <c r="M170" s="94"/>
      <c r="N170" s="94"/>
      <c r="IM170" s="94"/>
      <c r="IN170" s="94"/>
      <c r="IO170" s="94"/>
      <c r="IP170" s="94"/>
      <c r="IQ170" s="94"/>
      <c r="IR170" s="94"/>
      <c r="IS170" s="94"/>
      <c r="IT170" s="94"/>
      <c r="IU170" s="94"/>
    </row>
    <row r="171" spans="1:255" s="95" customFormat="1" ht="23.25" customHeight="1" hidden="1">
      <c r="A171" s="133"/>
      <c r="B171" s="88" t="s">
        <v>138</v>
      </c>
      <c r="C171" s="98">
        <v>215500</v>
      </c>
      <c r="D171" s="98">
        <v>130537.15999999999</v>
      </c>
      <c r="E171" s="99">
        <f t="shared" si="11"/>
        <v>60.57408816705336</v>
      </c>
      <c r="F171" s="98"/>
      <c r="G171" s="98"/>
      <c r="H171" s="99">
        <f t="shared" si="12"/>
        <v>0</v>
      </c>
      <c r="I171" s="91">
        <f t="shared" si="13"/>
        <v>215500</v>
      </c>
      <c r="J171" s="92">
        <f t="shared" si="14"/>
        <v>130537.15999999999</v>
      </c>
      <c r="K171" s="93">
        <f t="shared" si="15"/>
        <v>60.57408816705336</v>
      </c>
      <c r="L171" s="130"/>
      <c r="M171" s="94"/>
      <c r="N171" s="94"/>
      <c r="IM171" s="94"/>
      <c r="IN171" s="94"/>
      <c r="IO171" s="94"/>
      <c r="IP171" s="94"/>
      <c r="IQ171" s="94"/>
      <c r="IR171" s="94"/>
      <c r="IS171" s="94"/>
      <c r="IT171" s="94"/>
      <c r="IU171" s="94"/>
    </row>
    <row r="172" spans="1:255" s="95" customFormat="1" ht="51" customHeight="1" hidden="1">
      <c r="A172" s="133"/>
      <c r="B172" s="88" t="s">
        <v>175</v>
      </c>
      <c r="C172" s="98">
        <v>205040</v>
      </c>
      <c r="D172" s="98">
        <v>161508.32</v>
      </c>
      <c r="E172" s="99">
        <f t="shared" si="11"/>
        <v>78.76917674600078</v>
      </c>
      <c r="F172" s="98"/>
      <c r="G172" s="98"/>
      <c r="H172" s="99">
        <f t="shared" si="12"/>
        <v>0</v>
      </c>
      <c r="I172" s="91">
        <f t="shared" si="13"/>
        <v>205040</v>
      </c>
      <c r="J172" s="92">
        <f t="shared" si="14"/>
        <v>161508.32</v>
      </c>
      <c r="K172" s="93">
        <f t="shared" si="15"/>
        <v>78.76917674600078</v>
      </c>
      <c r="L172" s="130"/>
      <c r="M172" s="94"/>
      <c r="N172" s="94"/>
      <c r="IM172" s="94"/>
      <c r="IN172" s="94"/>
      <c r="IO172" s="94"/>
      <c r="IP172" s="94"/>
      <c r="IQ172" s="94"/>
      <c r="IR172" s="94"/>
      <c r="IS172" s="94"/>
      <c r="IT172" s="94"/>
      <c r="IU172" s="94"/>
    </row>
    <row r="173" spans="1:255" s="95" customFormat="1" ht="42" customHeight="1" hidden="1">
      <c r="A173" s="133"/>
      <c r="B173" s="88" t="s">
        <v>176</v>
      </c>
      <c r="C173" s="98">
        <f>25600+3200</f>
        <v>28800</v>
      </c>
      <c r="D173" s="98">
        <v>28800</v>
      </c>
      <c r="E173" s="99">
        <f t="shared" si="11"/>
        <v>100</v>
      </c>
      <c r="F173" s="98"/>
      <c r="G173" s="98"/>
      <c r="H173" s="99">
        <f t="shared" si="12"/>
        <v>0</v>
      </c>
      <c r="I173" s="91">
        <f t="shared" si="13"/>
        <v>28800</v>
      </c>
      <c r="J173" s="92">
        <f t="shared" si="14"/>
        <v>28800</v>
      </c>
      <c r="K173" s="93">
        <f t="shared" si="15"/>
        <v>100</v>
      </c>
      <c r="L173" s="130"/>
      <c r="M173" s="94"/>
      <c r="N173" s="94"/>
      <c r="IM173" s="94"/>
      <c r="IN173" s="94"/>
      <c r="IO173" s="94"/>
      <c r="IP173" s="94"/>
      <c r="IQ173" s="94"/>
      <c r="IR173" s="94"/>
      <c r="IS173" s="94"/>
      <c r="IT173" s="94"/>
      <c r="IU173" s="94"/>
    </row>
    <row r="174" spans="1:255" s="95" customFormat="1" ht="65.25" customHeight="1" hidden="1">
      <c r="A174" s="133"/>
      <c r="B174" s="88" t="s">
        <v>144</v>
      </c>
      <c r="C174" s="98">
        <v>2588854</v>
      </c>
      <c r="D174" s="98">
        <v>2576029</v>
      </c>
      <c r="E174" s="99">
        <f t="shared" si="11"/>
        <v>99.50460705779469</v>
      </c>
      <c r="F174" s="98"/>
      <c r="G174" s="98"/>
      <c r="H174" s="99">
        <f t="shared" si="12"/>
        <v>0</v>
      </c>
      <c r="I174" s="91">
        <f t="shared" si="13"/>
        <v>2588854</v>
      </c>
      <c r="J174" s="92">
        <f t="shared" si="14"/>
        <v>2576029</v>
      </c>
      <c r="K174" s="93">
        <f t="shared" si="15"/>
        <v>99.50460705779469</v>
      </c>
      <c r="L174" s="130"/>
      <c r="M174" s="94"/>
      <c r="N174" s="94"/>
      <c r="IM174" s="94"/>
      <c r="IN174" s="94"/>
      <c r="IO174" s="94"/>
      <c r="IP174" s="94"/>
      <c r="IQ174" s="94"/>
      <c r="IR174" s="94"/>
      <c r="IS174" s="94"/>
      <c r="IT174" s="94"/>
      <c r="IU174" s="94"/>
    </row>
    <row r="175" spans="1:255" s="95" customFormat="1" ht="65.25" customHeight="1" hidden="1">
      <c r="A175" s="133"/>
      <c r="B175" s="111" t="s">
        <v>190</v>
      </c>
      <c r="C175" s="112">
        <v>5000</v>
      </c>
      <c r="D175" s="112">
        <v>5000</v>
      </c>
      <c r="E175" s="113">
        <f t="shared" si="11"/>
        <v>100</v>
      </c>
      <c r="F175" s="112"/>
      <c r="G175" s="112"/>
      <c r="H175" s="113">
        <f t="shared" si="12"/>
        <v>0</v>
      </c>
      <c r="I175" s="91">
        <f t="shared" si="13"/>
        <v>5000</v>
      </c>
      <c r="J175" s="92">
        <f t="shared" si="14"/>
        <v>5000</v>
      </c>
      <c r="K175" s="93">
        <f t="shared" si="15"/>
        <v>100</v>
      </c>
      <c r="L175" s="130"/>
      <c r="M175" s="94"/>
      <c r="N175" s="94"/>
      <c r="IM175" s="94"/>
      <c r="IN175" s="94"/>
      <c r="IO175" s="94"/>
      <c r="IP175" s="94"/>
      <c r="IQ175" s="94"/>
      <c r="IR175" s="94"/>
      <c r="IS175" s="94"/>
      <c r="IT175" s="94"/>
      <c r="IU175" s="94"/>
    </row>
    <row r="176" spans="1:255" s="95" customFormat="1" ht="30" customHeight="1" hidden="1">
      <c r="A176" s="133"/>
      <c r="B176" s="111" t="s">
        <v>145</v>
      </c>
      <c r="C176" s="112"/>
      <c r="D176" s="112"/>
      <c r="E176" s="113">
        <f t="shared" si="11"/>
        <v>0</v>
      </c>
      <c r="F176" s="112"/>
      <c r="G176" s="112"/>
      <c r="H176" s="113">
        <f t="shared" si="12"/>
        <v>0</v>
      </c>
      <c r="I176" s="91">
        <f t="shared" si="13"/>
        <v>0</v>
      </c>
      <c r="J176" s="92">
        <f t="shared" si="14"/>
        <v>0</v>
      </c>
      <c r="K176" s="93">
        <f t="shared" si="15"/>
        <v>0</v>
      </c>
      <c r="L176" s="130"/>
      <c r="M176" s="94"/>
      <c r="N176" s="94"/>
      <c r="IM176" s="94"/>
      <c r="IN176" s="94"/>
      <c r="IO176" s="94"/>
      <c r="IP176" s="94"/>
      <c r="IQ176" s="94"/>
      <c r="IR176" s="94"/>
      <c r="IS176" s="94"/>
      <c r="IT176" s="94"/>
      <c r="IU176" s="94"/>
    </row>
    <row r="177" spans="1:255" s="95" customFormat="1" ht="31.5" customHeight="1" hidden="1">
      <c r="A177" s="133"/>
      <c r="B177" s="88" t="s">
        <v>155</v>
      </c>
      <c r="C177" s="98">
        <f>274977+65000+10100</f>
        <v>350077</v>
      </c>
      <c r="D177" s="98">
        <v>347892</v>
      </c>
      <c r="E177" s="99">
        <f t="shared" si="11"/>
        <v>99.37585159836264</v>
      </c>
      <c r="F177" s="98">
        <f>304000+60000</f>
        <v>364000</v>
      </c>
      <c r="G177" s="98">
        <v>364000</v>
      </c>
      <c r="H177" s="99">
        <f t="shared" si="12"/>
        <v>100</v>
      </c>
      <c r="I177" s="91">
        <f t="shared" si="13"/>
        <v>714077</v>
      </c>
      <c r="J177" s="92">
        <f t="shared" si="14"/>
        <v>711892</v>
      </c>
      <c r="K177" s="93">
        <f t="shared" si="15"/>
        <v>99.69401058989436</v>
      </c>
      <c r="L177" s="130"/>
      <c r="M177" s="94"/>
      <c r="N177" s="94"/>
      <c r="IM177" s="94"/>
      <c r="IN177" s="94"/>
      <c r="IO177" s="94"/>
      <c r="IP177" s="94"/>
      <c r="IQ177" s="94"/>
      <c r="IR177" s="94"/>
      <c r="IS177" s="94"/>
      <c r="IT177" s="94"/>
      <c r="IU177" s="94"/>
    </row>
    <row r="178" spans="1:255" s="108" customFormat="1" ht="31.5" customHeight="1" hidden="1">
      <c r="A178" s="133"/>
      <c r="B178" s="101" t="s">
        <v>191</v>
      </c>
      <c r="C178" s="102">
        <f>C179</f>
        <v>220903</v>
      </c>
      <c r="D178" s="102">
        <f>D179</f>
        <v>220903</v>
      </c>
      <c r="E178" s="103">
        <f t="shared" si="11"/>
        <v>100</v>
      </c>
      <c r="F178" s="102"/>
      <c r="G178" s="102"/>
      <c r="H178" s="103">
        <f t="shared" si="12"/>
        <v>0</v>
      </c>
      <c r="I178" s="104">
        <f t="shared" si="13"/>
        <v>220903</v>
      </c>
      <c r="J178" s="105">
        <f t="shared" si="14"/>
        <v>220903</v>
      </c>
      <c r="K178" s="106">
        <f t="shared" si="15"/>
        <v>100</v>
      </c>
      <c r="L178" s="130"/>
      <c r="M178" s="107"/>
      <c r="N178" s="107"/>
      <c r="IM178" s="107"/>
      <c r="IN178" s="107"/>
      <c r="IO178" s="107"/>
      <c r="IP178" s="107"/>
      <c r="IQ178" s="107"/>
      <c r="IR178" s="107"/>
      <c r="IS178" s="107"/>
      <c r="IT178" s="107"/>
      <c r="IU178" s="107"/>
    </row>
    <row r="179" spans="1:255" s="95" customFormat="1" ht="31.5" customHeight="1" hidden="1">
      <c r="A179" s="134"/>
      <c r="B179" s="88" t="s">
        <v>192</v>
      </c>
      <c r="C179" s="98">
        <v>220903</v>
      </c>
      <c r="D179" s="98">
        <v>220903</v>
      </c>
      <c r="E179" s="99">
        <f t="shared" si="11"/>
        <v>100</v>
      </c>
      <c r="F179" s="98"/>
      <c r="G179" s="98"/>
      <c r="H179" s="99">
        <f t="shared" si="12"/>
        <v>0</v>
      </c>
      <c r="I179" s="91">
        <f t="shared" si="13"/>
        <v>220903</v>
      </c>
      <c r="J179" s="92">
        <f t="shared" si="14"/>
        <v>220903</v>
      </c>
      <c r="K179" s="93">
        <f t="shared" si="15"/>
        <v>100</v>
      </c>
      <c r="L179" s="130"/>
      <c r="M179" s="94"/>
      <c r="N179" s="94"/>
      <c r="IM179" s="94"/>
      <c r="IN179" s="94"/>
      <c r="IO179" s="94"/>
      <c r="IP179" s="94"/>
      <c r="IQ179" s="94"/>
      <c r="IR179" s="94"/>
      <c r="IS179" s="94"/>
      <c r="IT179" s="94"/>
      <c r="IU179" s="94"/>
    </row>
    <row r="180" spans="1:255" s="4" customFormat="1" ht="58.5" customHeight="1" hidden="1">
      <c r="A180" s="46">
        <v>41054100</v>
      </c>
      <c r="B180" s="5" t="s">
        <v>147</v>
      </c>
      <c r="C180" s="1"/>
      <c r="D180" s="1"/>
      <c r="E180" s="48">
        <f t="shared" si="11"/>
        <v>0</v>
      </c>
      <c r="F180" s="1"/>
      <c r="G180" s="1"/>
      <c r="H180" s="48">
        <f t="shared" si="12"/>
        <v>0</v>
      </c>
      <c r="I180" s="55">
        <f t="shared" si="13"/>
        <v>0</v>
      </c>
      <c r="J180" s="56">
        <f t="shared" si="14"/>
        <v>0</v>
      </c>
      <c r="K180" s="57">
        <f t="shared" si="15"/>
        <v>0</v>
      </c>
      <c r="L180" s="130"/>
      <c r="M180" s="3"/>
      <c r="N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s="4" customFormat="1" ht="179.25" customHeight="1">
      <c r="A181" s="46">
        <v>41054200</v>
      </c>
      <c r="B181" s="5" t="s">
        <v>194</v>
      </c>
      <c r="C181" s="1">
        <v>823359</v>
      </c>
      <c r="D181" s="1">
        <v>823358.97</v>
      </c>
      <c r="E181" s="48">
        <f t="shared" si="11"/>
        <v>99.99999635638889</v>
      </c>
      <c r="F181" s="1"/>
      <c r="G181" s="1"/>
      <c r="H181" s="48">
        <f t="shared" si="12"/>
        <v>0</v>
      </c>
      <c r="I181" s="55">
        <f t="shared" si="13"/>
        <v>823359</v>
      </c>
      <c r="J181" s="56">
        <f t="shared" si="14"/>
        <v>823358.97</v>
      </c>
      <c r="K181" s="57">
        <f t="shared" si="15"/>
        <v>99.99999635638889</v>
      </c>
      <c r="L181" s="130"/>
      <c r="M181" s="3"/>
      <c r="N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s="4" customFormat="1" ht="58.5" customHeight="1">
      <c r="A182" s="46">
        <v>41054300</v>
      </c>
      <c r="B182" s="5" t="s">
        <v>193</v>
      </c>
      <c r="C182" s="1">
        <f>C183</f>
        <v>342400</v>
      </c>
      <c r="D182" s="1">
        <v>341373.46</v>
      </c>
      <c r="E182" s="48">
        <f t="shared" si="11"/>
        <v>99.70019275700935</v>
      </c>
      <c r="F182" s="1"/>
      <c r="G182" s="1"/>
      <c r="H182" s="48">
        <f t="shared" si="12"/>
        <v>0</v>
      </c>
      <c r="I182" s="55">
        <f t="shared" si="13"/>
        <v>342400</v>
      </c>
      <c r="J182" s="56">
        <f t="shared" si="14"/>
        <v>341373.46</v>
      </c>
      <c r="K182" s="57">
        <f t="shared" si="15"/>
        <v>99.70019275700935</v>
      </c>
      <c r="L182" s="130"/>
      <c r="M182" s="3"/>
      <c r="N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s="4" customFormat="1" ht="30" customHeight="1" hidden="1">
      <c r="A183" s="46"/>
      <c r="B183" s="5" t="s">
        <v>199</v>
      </c>
      <c r="C183" s="1">
        <f>50000+292400</f>
        <v>342400</v>
      </c>
      <c r="D183" s="1"/>
      <c r="E183" s="48">
        <f t="shared" si="11"/>
        <v>0</v>
      </c>
      <c r="F183" s="1"/>
      <c r="G183" s="1"/>
      <c r="H183" s="48">
        <f t="shared" si="12"/>
        <v>0</v>
      </c>
      <c r="I183" s="55">
        <f t="shared" si="13"/>
        <v>342400</v>
      </c>
      <c r="J183" s="56">
        <f t="shared" si="14"/>
        <v>0</v>
      </c>
      <c r="K183" s="57">
        <f t="shared" si="15"/>
        <v>0</v>
      </c>
      <c r="L183" s="119"/>
      <c r="M183" s="3"/>
      <c r="N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s="28" customFormat="1" ht="35.25" customHeight="1">
      <c r="A184" s="40">
        <v>42000000</v>
      </c>
      <c r="B184" s="26" t="s">
        <v>166</v>
      </c>
      <c r="C184" s="15"/>
      <c r="D184" s="15"/>
      <c r="E184" s="47">
        <f t="shared" si="11"/>
        <v>0</v>
      </c>
      <c r="F184" s="15">
        <f>F185</f>
        <v>5760000</v>
      </c>
      <c r="G184" s="15">
        <f>G185</f>
        <v>3406867.9599999995</v>
      </c>
      <c r="H184" s="47">
        <f t="shared" si="12"/>
        <v>59.14701319444443</v>
      </c>
      <c r="I184" s="61">
        <f t="shared" si="13"/>
        <v>5760000</v>
      </c>
      <c r="J184" s="62">
        <f t="shared" si="14"/>
        <v>3406867.9599999995</v>
      </c>
      <c r="K184" s="63">
        <f t="shared" si="15"/>
        <v>59.14701319444443</v>
      </c>
      <c r="L184" s="135"/>
      <c r="M184" s="27"/>
      <c r="N184" s="27"/>
      <c r="IM184" s="27"/>
      <c r="IN184" s="27"/>
      <c r="IO184" s="27"/>
      <c r="IP184" s="27"/>
      <c r="IQ184" s="27"/>
      <c r="IR184" s="27"/>
      <c r="IS184" s="27"/>
      <c r="IT184" s="27"/>
      <c r="IU184" s="27"/>
    </row>
    <row r="185" spans="1:255" s="4" customFormat="1" ht="30">
      <c r="A185" s="46" t="s">
        <v>167</v>
      </c>
      <c r="B185" s="5" t="s">
        <v>168</v>
      </c>
      <c r="C185" s="1"/>
      <c r="D185" s="1"/>
      <c r="E185" s="48">
        <f t="shared" si="11"/>
        <v>0</v>
      </c>
      <c r="F185" s="1">
        <v>5760000</v>
      </c>
      <c r="G185" s="1">
        <v>3406867.9599999995</v>
      </c>
      <c r="H185" s="48">
        <f t="shared" si="12"/>
        <v>59.14701319444443</v>
      </c>
      <c r="I185" s="55">
        <f t="shared" si="13"/>
        <v>5760000</v>
      </c>
      <c r="J185" s="56">
        <f t="shared" si="14"/>
        <v>3406867.9599999995</v>
      </c>
      <c r="K185" s="57">
        <f t="shared" si="15"/>
        <v>59.14701319444443</v>
      </c>
      <c r="L185" s="135"/>
      <c r="M185" s="3"/>
      <c r="N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s="84" customFormat="1" ht="19.5" customHeight="1">
      <c r="A186" s="25"/>
      <c r="B186" s="86" t="s">
        <v>164</v>
      </c>
      <c r="C186" s="15">
        <f>C115+C116</f>
        <v>2965331238.98</v>
      </c>
      <c r="D186" s="15">
        <f>D115+D116</f>
        <v>2819699049.65</v>
      </c>
      <c r="E186" s="47">
        <f t="shared" si="11"/>
        <v>95.0888390674327</v>
      </c>
      <c r="F186" s="15">
        <f>F115+F116</f>
        <v>178576569</v>
      </c>
      <c r="G186" s="15">
        <f>G115+G116</f>
        <v>158408219.91000003</v>
      </c>
      <c r="H186" s="47">
        <f t="shared" si="12"/>
        <v>88.70604962177319</v>
      </c>
      <c r="I186" s="61">
        <f t="shared" si="13"/>
        <v>3143907807.98</v>
      </c>
      <c r="J186" s="62">
        <f t="shared" si="14"/>
        <v>2978107269.56</v>
      </c>
      <c r="K186" s="63">
        <f t="shared" si="15"/>
        <v>94.7262913371964</v>
      </c>
      <c r="L186" s="135"/>
      <c r="M186" s="83"/>
      <c r="N186" s="83"/>
      <c r="IM186" s="83"/>
      <c r="IN186" s="83"/>
      <c r="IO186" s="83"/>
      <c r="IP186" s="83"/>
      <c r="IQ186" s="83"/>
      <c r="IR186" s="83"/>
      <c r="IS186" s="83"/>
      <c r="IT186" s="83"/>
      <c r="IU186" s="83"/>
    </row>
    <row r="187" spans="1:255" s="34" customFormat="1" ht="18.75">
      <c r="A187" s="35"/>
      <c r="B187" s="39"/>
      <c r="C187" s="36"/>
      <c r="D187" s="36"/>
      <c r="E187" s="36"/>
      <c r="F187" s="36"/>
      <c r="G187" s="36"/>
      <c r="H187" s="36"/>
      <c r="I187" s="53"/>
      <c r="J187" s="32"/>
      <c r="K187" s="32"/>
      <c r="L187" s="135"/>
      <c r="M187" s="33"/>
      <c r="N187" s="33"/>
      <c r="IM187" s="33"/>
      <c r="IN187" s="33"/>
      <c r="IO187" s="33"/>
      <c r="IP187" s="33"/>
      <c r="IQ187" s="33"/>
      <c r="IR187" s="33"/>
      <c r="IS187" s="33"/>
      <c r="IT187" s="33"/>
      <c r="IU187" s="33"/>
    </row>
    <row r="188" spans="1:255" s="34" customFormat="1" ht="18.75">
      <c r="A188" s="35"/>
      <c r="B188" s="39"/>
      <c r="C188" s="36"/>
      <c r="D188" s="36"/>
      <c r="E188" s="36"/>
      <c r="F188" s="36"/>
      <c r="G188" s="36"/>
      <c r="H188" s="36"/>
      <c r="I188" s="53"/>
      <c r="J188" s="32"/>
      <c r="K188" s="32"/>
      <c r="L188" s="135"/>
      <c r="M188" s="33"/>
      <c r="N188" s="33"/>
      <c r="IM188" s="33"/>
      <c r="IN188" s="33"/>
      <c r="IO188" s="33"/>
      <c r="IP188" s="33"/>
      <c r="IQ188" s="33"/>
      <c r="IR188" s="33"/>
      <c r="IS188" s="33"/>
      <c r="IT188" s="33"/>
      <c r="IU188" s="33"/>
    </row>
    <row r="189" spans="1:255" s="34" customFormat="1" ht="18.75">
      <c r="A189" s="35"/>
      <c r="B189" s="39"/>
      <c r="C189" s="36"/>
      <c r="D189" s="36"/>
      <c r="E189" s="36"/>
      <c r="F189" s="36"/>
      <c r="G189" s="36"/>
      <c r="H189" s="36"/>
      <c r="I189" s="53"/>
      <c r="J189" s="32"/>
      <c r="K189" s="32"/>
      <c r="L189" s="135"/>
      <c r="M189" s="33"/>
      <c r="N189" s="33"/>
      <c r="IM189" s="33"/>
      <c r="IN189" s="33"/>
      <c r="IO189" s="33"/>
      <c r="IP189" s="33"/>
      <c r="IQ189" s="33"/>
      <c r="IR189" s="33"/>
      <c r="IS189" s="33"/>
      <c r="IT189" s="33"/>
      <c r="IU189" s="33"/>
    </row>
    <row r="190" spans="1:255" s="34" customFormat="1" ht="18.75">
      <c r="A190" s="35"/>
      <c r="B190" s="39"/>
      <c r="C190" s="36"/>
      <c r="D190" s="36"/>
      <c r="E190" s="36"/>
      <c r="F190" s="36"/>
      <c r="G190" s="36"/>
      <c r="H190" s="36"/>
      <c r="I190" s="53"/>
      <c r="J190" s="32"/>
      <c r="K190" s="32"/>
      <c r="L190" s="135"/>
      <c r="M190" s="33"/>
      <c r="N190" s="33"/>
      <c r="IM190" s="33"/>
      <c r="IN190" s="33"/>
      <c r="IO190" s="33"/>
      <c r="IP190" s="33"/>
      <c r="IQ190" s="33"/>
      <c r="IR190" s="33"/>
      <c r="IS190" s="33"/>
      <c r="IT190" s="33"/>
      <c r="IU190" s="33"/>
    </row>
    <row r="191" spans="1:255" s="34" customFormat="1" ht="18.75">
      <c r="A191" s="35"/>
      <c r="B191" s="39"/>
      <c r="C191" s="36"/>
      <c r="D191" s="36"/>
      <c r="E191" s="36"/>
      <c r="F191" s="36"/>
      <c r="G191" s="36"/>
      <c r="H191" s="36"/>
      <c r="I191" s="53"/>
      <c r="J191" s="32"/>
      <c r="K191" s="32"/>
      <c r="L191" s="135"/>
      <c r="M191" s="33"/>
      <c r="N191" s="33"/>
      <c r="IM191" s="33"/>
      <c r="IN191" s="33"/>
      <c r="IO191" s="33"/>
      <c r="IP191" s="33"/>
      <c r="IQ191" s="33"/>
      <c r="IR191" s="33"/>
      <c r="IS191" s="33"/>
      <c r="IT191" s="33"/>
      <c r="IU191" s="33"/>
    </row>
    <row r="192" spans="1:255" s="34" customFormat="1" ht="18.75">
      <c r="A192" s="35"/>
      <c r="B192" s="39"/>
      <c r="C192" s="36"/>
      <c r="D192" s="36"/>
      <c r="E192" s="36"/>
      <c r="F192" s="36"/>
      <c r="G192" s="36"/>
      <c r="H192" s="36"/>
      <c r="I192" s="53"/>
      <c r="J192" s="32"/>
      <c r="K192" s="32"/>
      <c r="L192" s="135"/>
      <c r="M192" s="33"/>
      <c r="N192" s="33"/>
      <c r="IM192" s="33"/>
      <c r="IN192" s="33"/>
      <c r="IO192" s="33"/>
      <c r="IP192" s="33"/>
      <c r="IQ192" s="33"/>
      <c r="IR192" s="33"/>
      <c r="IS192" s="33"/>
      <c r="IT192" s="33"/>
      <c r="IU192" s="33"/>
    </row>
    <row r="193" spans="1:255" s="34" customFormat="1" ht="15.75" customHeight="1" hidden="1">
      <c r="A193" s="35"/>
      <c r="B193" s="39"/>
      <c r="C193" s="36"/>
      <c r="D193" s="36"/>
      <c r="E193" s="36"/>
      <c r="F193" s="36"/>
      <c r="G193" s="36"/>
      <c r="H193" s="36"/>
      <c r="I193" s="53"/>
      <c r="J193" s="32"/>
      <c r="K193" s="32"/>
      <c r="L193" s="135"/>
      <c r="M193" s="33"/>
      <c r="N193" s="33"/>
      <c r="IM193" s="33"/>
      <c r="IN193" s="33"/>
      <c r="IO193" s="33"/>
      <c r="IP193" s="33"/>
      <c r="IQ193" s="33"/>
      <c r="IR193" s="33"/>
      <c r="IS193" s="33"/>
      <c r="IT193" s="33"/>
      <c r="IU193" s="33"/>
    </row>
    <row r="194" spans="1:255" s="42" customFormat="1" ht="26.25">
      <c r="A194" s="116" t="s">
        <v>226</v>
      </c>
      <c r="B194" s="115"/>
      <c r="C194" s="115"/>
      <c r="D194" s="115"/>
      <c r="E194" s="115"/>
      <c r="F194" s="116"/>
      <c r="G194" s="115"/>
      <c r="H194" s="115"/>
      <c r="I194" s="115"/>
      <c r="J194" s="115" t="s">
        <v>227</v>
      </c>
      <c r="K194" s="116"/>
      <c r="L194" s="135"/>
      <c r="M194" s="43"/>
      <c r="N194" s="43"/>
      <c r="IM194" s="43"/>
      <c r="IN194" s="43"/>
      <c r="IO194" s="43"/>
      <c r="IP194" s="43"/>
      <c r="IQ194" s="43"/>
      <c r="IR194" s="43"/>
      <c r="IS194" s="43"/>
      <c r="IT194" s="43"/>
      <c r="IU194" s="43"/>
    </row>
    <row r="195" spans="2:255" s="42" customFormat="1" ht="19.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135"/>
      <c r="M195" s="43"/>
      <c r="N195" s="43"/>
      <c r="IM195" s="43"/>
      <c r="IN195" s="43"/>
      <c r="IO195" s="43"/>
      <c r="IP195" s="43"/>
      <c r="IQ195" s="43"/>
      <c r="IR195" s="43"/>
      <c r="IS195" s="43"/>
      <c r="IT195" s="43"/>
      <c r="IU195" s="43"/>
    </row>
    <row r="196" spans="1:255" s="42" customFormat="1" ht="19.5">
      <c r="A196" s="9" t="s">
        <v>223</v>
      </c>
      <c r="B196" s="9"/>
      <c r="C196" s="37"/>
      <c r="D196" s="37"/>
      <c r="E196" s="37"/>
      <c r="F196" s="37"/>
      <c r="G196" s="37"/>
      <c r="H196" s="37"/>
      <c r="I196" s="37"/>
      <c r="J196" s="37"/>
      <c r="K196" s="37"/>
      <c r="L196" s="135"/>
      <c r="M196" s="43"/>
      <c r="N196" s="43"/>
      <c r="IM196" s="43"/>
      <c r="IN196" s="43"/>
      <c r="IO196" s="43"/>
      <c r="IP196" s="43"/>
      <c r="IQ196" s="43"/>
      <c r="IR196" s="43"/>
      <c r="IS196" s="43"/>
      <c r="IT196" s="43"/>
      <c r="IU196" s="43"/>
    </row>
    <row r="197" spans="1:255" s="42" customFormat="1" ht="19.5">
      <c r="A197" s="9"/>
      <c r="B197" s="9"/>
      <c r="C197" s="37"/>
      <c r="D197" s="37"/>
      <c r="E197" s="37"/>
      <c r="F197" s="37"/>
      <c r="G197" s="37"/>
      <c r="H197" s="37"/>
      <c r="I197" s="37"/>
      <c r="J197" s="37"/>
      <c r="K197" s="37"/>
      <c r="L197" s="135"/>
      <c r="M197" s="43"/>
      <c r="N197" s="43"/>
      <c r="IM197" s="43"/>
      <c r="IN197" s="43"/>
      <c r="IO197" s="43"/>
      <c r="IP197" s="43"/>
      <c r="IQ197" s="43"/>
      <c r="IR197" s="43"/>
      <c r="IS197" s="43"/>
      <c r="IT197" s="43"/>
      <c r="IU197" s="43"/>
    </row>
    <row r="198" spans="1:255" s="42" customFormat="1" ht="19.5">
      <c r="A198" s="9"/>
      <c r="B198" s="9" t="s">
        <v>224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135"/>
      <c r="M198" s="43"/>
      <c r="N198" s="43"/>
      <c r="IM198" s="43"/>
      <c r="IN198" s="43"/>
      <c r="IO198" s="43"/>
      <c r="IP198" s="43"/>
      <c r="IQ198" s="43"/>
      <c r="IR198" s="43"/>
      <c r="IS198" s="43"/>
      <c r="IT198" s="43"/>
      <c r="IU198" s="43"/>
    </row>
    <row r="199" spans="1:255" s="42" customFormat="1" ht="26.25">
      <c r="A199" s="114"/>
      <c r="B199" s="115"/>
      <c r="C199" s="116"/>
      <c r="D199" s="115"/>
      <c r="E199" s="115"/>
      <c r="F199" s="115"/>
      <c r="G199" s="115"/>
      <c r="H199" s="116"/>
      <c r="I199" s="116"/>
      <c r="J199" s="117"/>
      <c r="K199" s="117"/>
      <c r="L199" s="135"/>
      <c r="M199" s="43"/>
      <c r="N199" s="43"/>
      <c r="IM199" s="43"/>
      <c r="IN199" s="43"/>
      <c r="IO199" s="43"/>
      <c r="IP199" s="43"/>
      <c r="IQ199" s="43"/>
      <c r="IR199" s="43"/>
      <c r="IS199" s="43"/>
      <c r="IT199" s="43"/>
      <c r="IU199" s="43"/>
    </row>
    <row r="200" spans="2:255" s="42" customFormat="1" ht="15" customHeight="1">
      <c r="B200" s="43"/>
      <c r="C200" s="43"/>
      <c r="D200" s="43"/>
      <c r="E200" s="43"/>
      <c r="F200" s="43"/>
      <c r="G200" s="43"/>
      <c r="H200" s="43"/>
      <c r="I200" s="53"/>
      <c r="J200" s="43"/>
      <c r="K200" s="43"/>
      <c r="L200" s="135"/>
      <c r="M200" s="43"/>
      <c r="N200" s="43"/>
      <c r="IM200" s="43"/>
      <c r="IN200" s="43"/>
      <c r="IO200" s="43"/>
      <c r="IP200" s="43"/>
      <c r="IQ200" s="43"/>
      <c r="IR200" s="43"/>
      <c r="IS200" s="43"/>
      <c r="IT200" s="43"/>
      <c r="IU200" s="43"/>
    </row>
    <row r="201" spans="1:255" s="38" customFormat="1" ht="17.25" customHeight="1">
      <c r="A201" s="37"/>
      <c r="B201" s="37"/>
      <c r="C201" s="37"/>
      <c r="D201" s="37"/>
      <c r="E201" s="37"/>
      <c r="F201" s="37"/>
      <c r="G201" s="37"/>
      <c r="H201" s="37"/>
      <c r="I201" s="53"/>
      <c r="J201" s="37"/>
      <c r="K201" s="37"/>
      <c r="L201" s="135"/>
      <c r="M201" s="37"/>
      <c r="N201" s="37"/>
      <c r="IM201" s="37"/>
      <c r="IN201" s="37"/>
      <c r="IO201" s="37"/>
      <c r="IP201" s="37"/>
      <c r="IQ201" s="37"/>
      <c r="IR201" s="37"/>
      <c r="IS201" s="37"/>
      <c r="IT201" s="37"/>
      <c r="IU201" s="37"/>
    </row>
    <row r="202" spans="1:255" s="38" customFormat="1" ht="17.25" customHeight="1">
      <c r="A202" s="37"/>
      <c r="B202" s="37"/>
      <c r="C202" s="37"/>
      <c r="D202" s="37"/>
      <c r="E202" s="37"/>
      <c r="F202" s="37"/>
      <c r="G202" s="37"/>
      <c r="H202" s="37"/>
      <c r="I202" s="53"/>
      <c r="J202" s="37"/>
      <c r="K202" s="37"/>
      <c r="L202" s="135"/>
      <c r="M202" s="37"/>
      <c r="N202" s="37"/>
      <c r="IM202" s="37"/>
      <c r="IN202" s="37"/>
      <c r="IO202" s="37"/>
      <c r="IP202" s="37"/>
      <c r="IQ202" s="37"/>
      <c r="IR202" s="37"/>
      <c r="IS202" s="37"/>
      <c r="IT202" s="37"/>
      <c r="IU202" s="37"/>
    </row>
    <row r="203" spans="9:12" ht="15" customHeight="1">
      <c r="I203" s="53"/>
      <c r="L203" s="135"/>
    </row>
    <row r="204" ht="15" customHeight="1">
      <c r="I204" s="54"/>
    </row>
    <row r="205" ht="15" customHeight="1">
      <c r="I205" s="54"/>
    </row>
    <row r="206" ht="18.75">
      <c r="I206" s="8"/>
    </row>
    <row r="207" ht="18.75">
      <c r="I207" s="8"/>
    </row>
    <row r="208" ht="18.75">
      <c r="I208" s="8"/>
    </row>
    <row r="209" ht="18.75">
      <c r="I209" s="8"/>
    </row>
    <row r="210" ht="18.75">
      <c r="I210" s="8"/>
    </row>
    <row r="211" ht="18.75">
      <c r="I211" s="8"/>
    </row>
    <row r="212" ht="18.75">
      <c r="I212" s="8"/>
    </row>
    <row r="213" ht="18.75">
      <c r="I213" s="8"/>
    </row>
    <row r="214" ht="18.75">
      <c r="I214" s="8"/>
    </row>
    <row r="215" ht="18.75">
      <c r="I215" s="8"/>
    </row>
    <row r="216" ht="18.75">
      <c r="I216" s="8"/>
    </row>
    <row r="217" ht="18.75">
      <c r="I217" s="8"/>
    </row>
    <row r="218" ht="18.75">
      <c r="I218" s="8"/>
    </row>
    <row r="219" ht="18.75">
      <c r="I219" s="8"/>
    </row>
    <row r="220" ht="18.75">
      <c r="I220" s="8"/>
    </row>
    <row r="221" ht="18.75">
      <c r="I221" s="8"/>
    </row>
    <row r="222" ht="18.75">
      <c r="I222" s="8"/>
    </row>
    <row r="223" ht="18.75">
      <c r="I223" s="8"/>
    </row>
    <row r="224" ht="18.75">
      <c r="I224" s="8"/>
    </row>
    <row r="225" ht="18.75">
      <c r="I225" s="8"/>
    </row>
    <row r="226" ht="18.75">
      <c r="I226" s="8"/>
    </row>
    <row r="227" ht="18.75">
      <c r="I227" s="8"/>
    </row>
    <row r="228" ht="18.75">
      <c r="I228" s="8"/>
    </row>
  </sheetData>
  <sheetProtection/>
  <mergeCells count="17">
    <mergeCell ref="A165:A179"/>
    <mergeCell ref="L98:L123"/>
    <mergeCell ref="L184:L203"/>
    <mergeCell ref="L124:L130"/>
    <mergeCell ref="L135:L182"/>
    <mergeCell ref="C1:F1"/>
    <mergeCell ref="C9:E9"/>
    <mergeCell ref="I9:K9"/>
    <mergeCell ref="A7:K7"/>
    <mergeCell ref="L1:L25"/>
    <mergeCell ref="A150:A152"/>
    <mergeCell ref="L26:L51"/>
    <mergeCell ref="L52:L76"/>
    <mergeCell ref="L77:L97"/>
    <mergeCell ref="A9:A10"/>
    <mergeCell ref="B9:B10"/>
    <mergeCell ref="F9:H9"/>
  </mergeCells>
  <printOptions horizontalCentered="1"/>
  <pageMargins left="0.5905511811023623" right="0.1968503937007874" top="0.94" bottom="0.5905511811023623" header="0.7480314960629921" footer="0.2362204724409449"/>
  <pageSetup fitToHeight="8" horizontalDpi="600" verticalDpi="600" orientation="landscape" paperSize="9" scale="54" r:id="rId1"/>
  <headerFooter alignWithMargins="0">
    <oddHeader>&amp;R&amp;14
</oddHeader>
    <oddFooter>&amp;RСторінка &amp;P</oddFooter>
  </headerFooter>
  <rowBreaks count="1" manualBreakCount="1">
    <brk id="1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2020-02-28T08:34:04Z</cp:lastPrinted>
  <dcterms:created xsi:type="dcterms:W3CDTF">2014-01-17T10:52:16Z</dcterms:created>
  <dcterms:modified xsi:type="dcterms:W3CDTF">2020-02-28T08:34:30Z</dcterms:modified>
  <cp:category/>
  <cp:version/>
  <cp:contentType/>
  <cp:contentStatus/>
</cp:coreProperties>
</file>