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525" windowWidth="12390" windowHeight="9315" tabRatio="207" activeTab="1"/>
  </bookViews>
  <sheets>
    <sheet name="дод. 3" sheetId="1" r:id="rId1"/>
    <sheet name="дод. 4" sheetId="2" r:id="rId2"/>
  </sheets>
  <definedNames>
    <definedName name="_xlfn.AGGREGATE" hidden="1">#NAME?</definedName>
    <definedName name="_xlnm.Print_Titles" localSheetId="0">'дод. 3'!$9:$12</definedName>
    <definedName name="_xlnm.Print_Titles" localSheetId="1">'дод. 4'!$9:$12</definedName>
    <definedName name="_xlnm.Print_Area" localSheetId="0">'дод. 3'!$A$1:$P$277</definedName>
    <definedName name="_xlnm.Print_Area" localSheetId="1">'дод. 4'!$A$1:$O$217</definedName>
  </definedNames>
  <calcPr fullCalcOnLoad="1"/>
</workbook>
</file>

<file path=xl/sharedStrings.xml><?xml version="1.0" encoding="utf-8"?>
<sst xmlns="http://schemas.openxmlformats.org/spreadsheetml/2006/main" count="779" uniqueCount="604">
  <si>
    <t>1410160</t>
  </si>
  <si>
    <t>Проектування, реставрація та охорона пам'яток архітектури</t>
  </si>
  <si>
    <t>Транспорт та транспортна інфраструктура, дорожнє господарство</t>
  </si>
  <si>
    <t>7640</t>
  </si>
  <si>
    <t>Забезпечення надання послуг з перевезення пасажирів автомобільним транспортом</t>
  </si>
  <si>
    <t>7412</t>
  </si>
  <si>
    <t>7422</t>
  </si>
  <si>
    <t>7420</t>
  </si>
  <si>
    <t>Забезпечення надання послуг з перевезення пасажирів електротранспортом</t>
  </si>
  <si>
    <t>7426</t>
  </si>
  <si>
    <t>Інші програми та заходи, пов'язані з економічною діяльністю</t>
  </si>
  <si>
    <t>7610</t>
  </si>
  <si>
    <t>7670</t>
  </si>
  <si>
    <t>7690</t>
  </si>
  <si>
    <t>8300</t>
  </si>
  <si>
    <t>Інша діяльність</t>
  </si>
  <si>
    <t>Захист населення і територій від надзвичайних ситуацій техногенного та природного характеру</t>
  </si>
  <si>
    <t>8110</t>
  </si>
  <si>
    <t>Заходи з організації рятування на водах</t>
  </si>
  <si>
    <t xml:space="preserve">Охорона навколишнього природного середовища </t>
  </si>
  <si>
    <t>8320</t>
  </si>
  <si>
    <t>8340</t>
  </si>
  <si>
    <t>Природоохоронні заходи за рахунок цільових фондів</t>
  </si>
  <si>
    <t>Обслуговування місцевого боргу</t>
  </si>
  <si>
    <t>8700</t>
  </si>
  <si>
    <t>9000</t>
  </si>
  <si>
    <t>9700</t>
  </si>
  <si>
    <t>Субвенції з місцевого бюджету іншим місцевим бюджетам на здійснення програм та заходів за рахунок коштів  місцевих бюджетів</t>
  </si>
  <si>
    <t>9770</t>
  </si>
  <si>
    <t>Забезпечення діяльності бібліотек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</si>
  <si>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</si>
  <si>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4080</t>
  </si>
  <si>
    <t>Проведення навчально-тренувальних зборів і змагань з неолімпійських видів спорту</t>
  </si>
  <si>
    <t>Інші заходи у сфері електротранспорту</t>
  </si>
  <si>
    <t>Інші заходи, пов'язані з економічною діяльністю</t>
  </si>
  <si>
    <t>Збереження природно-заповідного фонду</t>
  </si>
  <si>
    <t>Інші видатки на соціальний захист ветеранів війни та праці</t>
  </si>
  <si>
    <t>Компенсаційні виплати на пільговий проїзд електротранспортом окремим категоріям громадян</t>
  </si>
  <si>
    <t>Резервний фонд</t>
  </si>
  <si>
    <t>Всього видатків</t>
  </si>
  <si>
    <t>Здійснення соціальної роботи з вразливими категоріями населення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</si>
  <si>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</si>
  <si>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спортивної роботи в регіоні</t>
  </si>
  <si>
    <t>Проведення навчально-тренувальних зборів і змагань з олімпійських видів спорту</t>
  </si>
  <si>
    <t>Утримання та навчально-тренувальна робота комунальних дитячо-юнацьких спортивних шкіл</t>
  </si>
  <si>
    <t>Фінансова підтримка дитячо-юнацьких спортивних шкіл фізкультурно-спортивних товариств</t>
  </si>
  <si>
    <t>Сприяння розвитку малого та середнього підприємництва</t>
  </si>
  <si>
    <t>Внески до статутного капіталу суб’єктів господарювання</t>
  </si>
  <si>
    <t>Управління  освіти і науки Сумської міської ради</t>
  </si>
  <si>
    <t>Надання загальної середньої освіти вечiрнiми (змінними) школами</t>
  </si>
  <si>
    <t>1000000</t>
  </si>
  <si>
    <t xml:space="preserve">Відділ охорони здоров’я Сумської міської ради  </t>
  </si>
  <si>
    <t>1400000</t>
  </si>
  <si>
    <t>Багатопрофільна стаціонарна медична допомога населенню</t>
  </si>
  <si>
    <t>1500000</t>
  </si>
  <si>
    <t>1510000</t>
  </si>
  <si>
    <t>Пільгове медичне обслуговування осіб, які постраждали внаслідок Чорнобильської катастрофи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</si>
  <si>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</si>
  <si>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Соціальний захист ветеранів війни та праці</t>
  </si>
  <si>
    <t>Служба у справах дітей Сумської міської ради</t>
  </si>
  <si>
    <t>Заходи державної політики з питань дітей та їх соціального захисту</t>
  </si>
  <si>
    <t>Відділ культури та туризму Сумської міської ради</t>
  </si>
  <si>
    <t>Заклади і заходи з питань дітей та їх соціального захисту</t>
  </si>
  <si>
    <t>Департамент інфраструктури міста Сумської міської ради</t>
  </si>
  <si>
    <t>Заходи з енергозбереження</t>
  </si>
  <si>
    <t>Управління капітального будівництва та дорожнього господарства Сумської міської ради</t>
  </si>
  <si>
    <t>Управління «Інспекція з благоустрою міста Суми» Сумської міської ради</t>
  </si>
  <si>
    <t>Виконавчий комітет Сумської міської ради</t>
  </si>
  <si>
    <t>Регулювання цін на послуги місцевого автотранспорту</t>
  </si>
  <si>
    <t>Організація та проведення громадських робіт</t>
  </si>
  <si>
    <t xml:space="preserve">Департамент соціального захисту населення Сумської міської ради </t>
  </si>
  <si>
    <t>Департамент забезпечення ресурсних платежів Сумської міської ради</t>
  </si>
  <si>
    <t>Управління архітектури та містобудування Сумської міської ради</t>
  </si>
  <si>
    <t>Департамент фінансів, економіки та інвестицій Сумської міської ради</t>
  </si>
  <si>
    <t>Компенсаційні виплати на пільговий проїзд автомобільним транспортом окремим категоріям громадян</t>
  </si>
  <si>
    <t>Управління державного архітектурно-будівельного контролю Сумської міської ради</t>
  </si>
  <si>
    <t>0100</t>
  </si>
  <si>
    <t>Державне управління</t>
  </si>
  <si>
    <t>0180</t>
  </si>
  <si>
    <t>0111</t>
  </si>
  <si>
    <t>Код функціональної класифікації видатків та кредитування бюджету</t>
  </si>
  <si>
    <t>1000</t>
  </si>
  <si>
    <t>Освіта</t>
  </si>
  <si>
    <t>1010</t>
  </si>
  <si>
    <t>0910</t>
  </si>
  <si>
    <t>1020</t>
  </si>
  <si>
    <t>0921</t>
  </si>
  <si>
    <t>1030</t>
  </si>
  <si>
    <t>1060</t>
  </si>
  <si>
    <t>1070</t>
  </si>
  <si>
    <t>0922</t>
  </si>
  <si>
    <t>1090</t>
  </si>
  <si>
    <t>0960</t>
  </si>
  <si>
    <t>1100</t>
  </si>
  <si>
    <t>0930</t>
  </si>
  <si>
    <t>0990</t>
  </si>
  <si>
    <t>2000</t>
  </si>
  <si>
    <t xml:space="preserve">Охорона здоров’я </t>
  </si>
  <si>
    <t>2010</t>
  </si>
  <si>
    <t>0731</t>
  </si>
  <si>
    <t>0733</t>
  </si>
  <si>
    <t>0721</t>
  </si>
  <si>
    <t>0722</t>
  </si>
  <si>
    <t>0763</t>
  </si>
  <si>
    <t>3000</t>
  </si>
  <si>
    <t>Соціальний захист та соціальне забезпечення</t>
  </si>
  <si>
    <t>6000</t>
  </si>
  <si>
    <t>Житлово-комунальне господарство</t>
  </si>
  <si>
    <t>6010</t>
  </si>
  <si>
    <t>0610</t>
  </si>
  <si>
    <t>6020</t>
  </si>
  <si>
    <t>0620</t>
  </si>
  <si>
    <t>4000</t>
  </si>
  <si>
    <t xml:space="preserve"> Культура і мистецтво</t>
  </si>
  <si>
    <t>4030</t>
  </si>
  <si>
    <t>0824</t>
  </si>
  <si>
    <t>0829</t>
  </si>
  <si>
    <t>Засоби масової інформації</t>
  </si>
  <si>
    <t>0830</t>
  </si>
  <si>
    <t>5000</t>
  </si>
  <si>
    <t>Фізична культура і спорт</t>
  </si>
  <si>
    <t>5010</t>
  </si>
  <si>
    <t>5011</t>
  </si>
  <si>
    <t>0810</t>
  </si>
  <si>
    <t>5012</t>
  </si>
  <si>
    <t>5060</t>
  </si>
  <si>
    <t>0490</t>
  </si>
  <si>
    <t>0421</t>
  </si>
  <si>
    <t>0451</t>
  </si>
  <si>
    <t>0453</t>
  </si>
  <si>
    <t>7400</t>
  </si>
  <si>
    <t>7410</t>
  </si>
  <si>
    <t>0470</t>
  </si>
  <si>
    <t>0411</t>
  </si>
  <si>
    <t>7600</t>
  </si>
  <si>
    <t>0520</t>
  </si>
  <si>
    <t>0320</t>
  </si>
  <si>
    <t>0170</t>
  </si>
  <si>
    <t>9110</t>
  </si>
  <si>
    <t>0540</t>
  </si>
  <si>
    <t>0133</t>
  </si>
  <si>
    <t>8000</t>
  </si>
  <si>
    <t>8600</t>
  </si>
  <si>
    <t>8100</t>
  </si>
  <si>
    <t>7300</t>
  </si>
  <si>
    <t>3030</t>
  </si>
  <si>
    <t>3031</t>
  </si>
  <si>
    <t>3033</t>
  </si>
  <si>
    <t>1040</t>
  </si>
  <si>
    <t>3050</t>
  </si>
  <si>
    <t>3100</t>
  </si>
  <si>
    <t>3104</t>
  </si>
  <si>
    <t>3112</t>
  </si>
  <si>
    <t>3180</t>
  </si>
  <si>
    <t>3190</t>
  </si>
  <si>
    <t>3200</t>
  </si>
  <si>
    <t>1050</t>
  </si>
  <si>
    <t>3130</t>
  </si>
  <si>
    <t>3131</t>
  </si>
  <si>
    <t>3140</t>
  </si>
  <si>
    <t>3160</t>
  </si>
  <si>
    <t>3110</t>
  </si>
  <si>
    <t>Реверсна дотація</t>
  </si>
  <si>
    <t>Код програмної класифікації видатків та кредитування місцевих бюджетів</t>
  </si>
  <si>
    <t>Міжбюджетні трансферти</t>
  </si>
  <si>
    <t>Код типової програмної класифікації видатків та кредитування місцевих бюджетів (КТПКВКМБ)</t>
  </si>
  <si>
    <t>0443</t>
  </si>
  <si>
    <t>Програми і централізовані заходи у галузі охорони здоров’я</t>
  </si>
  <si>
    <t>Реалізація державної політики у молодіжній сфері</t>
  </si>
  <si>
    <t>Інші заходи з розвитку фізичної культури та спорту</t>
  </si>
  <si>
    <t>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</si>
  <si>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</si>
  <si>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Підтримка спорту вищих досягнень та організацій, які здійснюють фізкультурно-спортивну діяльність в регіоні</t>
  </si>
  <si>
    <t>5062</t>
  </si>
  <si>
    <t>5030</t>
  </si>
  <si>
    <t>5031</t>
  </si>
  <si>
    <t>5032</t>
  </si>
  <si>
    <t>Розвиток дитячо-юнацького та резервного спорту</t>
  </si>
  <si>
    <t>Найменування головного розпорядника, відповідального виконавця, бюджетної програми або напряму видатків згідно з типовою відомчою / типовою програмною класифікацією видатків та кредитування місцевого бюджету (ТПКВКМБ)</t>
  </si>
  <si>
    <t>1410000</t>
  </si>
  <si>
    <t>0160</t>
  </si>
  <si>
    <t>Керівництво і управління у відповідній сфері у містах (місті Києві), селищах, селах, об’єднаних територіальних громадах</t>
  </si>
  <si>
    <t>Надання загальної середньої освіти спеціальними 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t>
  </si>
  <si>
    <t>Підготовка кадрів професійно-технічними закладами та іншими закладами освіти</t>
  </si>
  <si>
    <t>1150</t>
  </si>
  <si>
    <t>2030</t>
  </si>
  <si>
    <t>Лікарсько-акушерська допомога вагітним, породіллям та новонародженим</t>
  </si>
  <si>
    <t>2080</t>
  </si>
  <si>
    <t>2100</t>
  </si>
  <si>
    <t>Стоматологічна допомога населенню</t>
  </si>
  <si>
    <t>2110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</si>
  <si>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</si>
  <si>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</si>
  <si>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Централізовані заходи з лікування хворих на цукровий та нецукровий діабет</t>
  </si>
  <si>
    <t>2150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</si>
  <si>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</si>
  <si>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Надання інших пільг окремим категоріям громадян відповідно до законодавства</t>
  </si>
  <si>
    <t>Надання пільг окремим категоріям громадян з оплати послуг зв'язку</t>
  </si>
  <si>
    <t>3032</t>
  </si>
  <si>
    <t>3036</t>
  </si>
  <si>
    <t>3120</t>
  </si>
  <si>
    <t>3121</t>
  </si>
  <si>
    <t>Утримання та забезпечення діяльності центрів соціальних служб для сім’ї, дітей та молоді</t>
  </si>
  <si>
    <t xml:space="preserve"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</t>
  </si>
  <si>
    <t>Утримання та ефективна експлуатація об’єктів житлово-комунального господарства</t>
  </si>
  <si>
    <t>6011</t>
  </si>
  <si>
    <t>Експлуатація та технічне обслуговування житлового фонду</t>
  </si>
  <si>
    <t>6013</t>
  </si>
  <si>
    <t>6030</t>
  </si>
  <si>
    <t>Організація благоустрою населених пунктів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</si>
  <si>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</si>
  <si>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8400</t>
  </si>
  <si>
    <t>6084</t>
  </si>
  <si>
    <t>Витрати, пов’язані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</si>
  <si>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7000</t>
  </si>
  <si>
    <t>Економічна діяльність</t>
  </si>
  <si>
    <t>7130</t>
  </si>
  <si>
    <t>Здійснення  заходів із землеустрою</t>
  </si>
  <si>
    <t>Будівництво та регіональний розвиток</t>
  </si>
  <si>
    <t>7340</t>
  </si>
  <si>
    <t>1010160</t>
  </si>
  <si>
    <t>1510160</t>
  </si>
  <si>
    <t>Надання дошкільної освіти</t>
  </si>
  <si>
    <t xml:space="preserve">Надання позашкільної освіти позашкільними закладами освіти, заходи із позашкільної роботи з дітьми </t>
  </si>
  <si>
    <t>Здійснення заходів та реалізація проектів на виконання Державної цільової соціальної програми «Молодь України»</t>
  </si>
  <si>
    <t xml:space="preserve">Забезпечення обробки інформації з нарахування та виплати допомог і компенсацій </t>
  </si>
  <si>
    <t>6080</t>
  </si>
  <si>
    <t xml:space="preserve">Реалізація державних та місцевих житлових програм </t>
  </si>
  <si>
    <t>6090</t>
  </si>
  <si>
    <t>Інша діяльність у сфері житлово-комунального господарства</t>
  </si>
  <si>
    <t>7100</t>
  </si>
  <si>
    <t>Сільське, лісове, рибне господарство та мисливство</t>
  </si>
  <si>
    <t>Регулювання цін на послуги місцевого наземного електротранспорту</t>
  </si>
  <si>
    <t>1017640</t>
  </si>
  <si>
    <t>1517640</t>
  </si>
  <si>
    <t>Забезпечення діяльності водопровідно-каналізаційного господарства</t>
  </si>
  <si>
    <t>8120</t>
  </si>
  <si>
    <t>0200000</t>
  </si>
  <si>
    <t>0210000</t>
  </si>
  <si>
    <t>0210160</t>
  </si>
  <si>
    <t>0213030</t>
  </si>
  <si>
    <t>0213036</t>
  </si>
  <si>
    <t>0213120</t>
  </si>
  <si>
    <t>0213121</t>
  </si>
  <si>
    <t>0213130</t>
  </si>
  <si>
    <t>0213131</t>
  </si>
  <si>
    <t>0213140</t>
  </si>
  <si>
    <t>0214080</t>
  </si>
  <si>
    <t>0215010</t>
  </si>
  <si>
    <t>0215011</t>
  </si>
  <si>
    <t>0215012</t>
  </si>
  <si>
    <t>0215030</t>
  </si>
  <si>
    <t>0215031</t>
  </si>
  <si>
    <t>0215032</t>
  </si>
  <si>
    <t>0215060</t>
  </si>
  <si>
    <t>0215061</t>
  </si>
  <si>
    <t>0215062</t>
  </si>
  <si>
    <t>0217410</t>
  </si>
  <si>
    <t>0217412</t>
  </si>
  <si>
    <t>0217420</t>
  </si>
  <si>
    <t>0217422</t>
  </si>
  <si>
    <t>0217610</t>
  </si>
  <si>
    <t>0217670</t>
  </si>
  <si>
    <t>0217690</t>
  </si>
  <si>
    <t>0218110</t>
  </si>
  <si>
    <t>0218340</t>
  </si>
  <si>
    <t>0600000</t>
  </si>
  <si>
    <t>0610000</t>
  </si>
  <si>
    <t>0610160</t>
  </si>
  <si>
    <t>0611010</t>
  </si>
  <si>
    <t>0611020</t>
  </si>
  <si>
    <t>0611150</t>
  </si>
  <si>
    <t>0613140</t>
  </si>
  <si>
    <t>0615030</t>
  </si>
  <si>
    <t>0615031</t>
  </si>
  <si>
    <t>0617640</t>
  </si>
  <si>
    <t>0618340</t>
  </si>
  <si>
    <t>0700000</t>
  </si>
  <si>
    <t>0710000</t>
  </si>
  <si>
    <t>0710160</t>
  </si>
  <si>
    <t>0712010</t>
  </si>
  <si>
    <t>0717640</t>
  </si>
  <si>
    <t>0712150</t>
  </si>
  <si>
    <t>0712144</t>
  </si>
  <si>
    <t>0712140</t>
  </si>
  <si>
    <t>0712111</t>
  </si>
  <si>
    <t>0712110</t>
  </si>
  <si>
    <t>0712100</t>
  </si>
  <si>
    <t>0712080</t>
  </si>
  <si>
    <t>0712030</t>
  </si>
  <si>
    <t>0800000</t>
  </si>
  <si>
    <t>0810000</t>
  </si>
  <si>
    <t>0810160</t>
  </si>
  <si>
    <t>0813030</t>
  </si>
  <si>
    <t>0813031</t>
  </si>
  <si>
    <t>0813032</t>
  </si>
  <si>
    <t>0813033</t>
  </si>
  <si>
    <t>0813036</t>
  </si>
  <si>
    <t>0813050</t>
  </si>
  <si>
    <t>0813100</t>
  </si>
  <si>
    <t>0813104</t>
  </si>
  <si>
    <t>0813160</t>
  </si>
  <si>
    <t>0813180</t>
  </si>
  <si>
    <t>0813200</t>
  </si>
  <si>
    <t>0817640</t>
  </si>
  <si>
    <t>0900000</t>
  </si>
  <si>
    <t>0910000</t>
  </si>
  <si>
    <t>0910160</t>
  </si>
  <si>
    <t>0913110</t>
  </si>
  <si>
    <t>0913112</t>
  </si>
  <si>
    <t>1010000</t>
  </si>
  <si>
    <t>1014030</t>
  </si>
  <si>
    <t>1014080</t>
  </si>
  <si>
    <t>1200000</t>
  </si>
  <si>
    <t>1210000</t>
  </si>
  <si>
    <t>1210160</t>
  </si>
  <si>
    <t>1216010</t>
  </si>
  <si>
    <t>1216011</t>
  </si>
  <si>
    <t>1216013</t>
  </si>
  <si>
    <t>1216020</t>
  </si>
  <si>
    <t>1216030</t>
  </si>
  <si>
    <t>1217340</t>
  </si>
  <si>
    <t>1217640</t>
  </si>
  <si>
    <t>1217690</t>
  </si>
  <si>
    <t>1218320</t>
  </si>
  <si>
    <t>1218340</t>
  </si>
  <si>
    <t>1219770</t>
  </si>
  <si>
    <t>1516030</t>
  </si>
  <si>
    <t>1516080</t>
  </si>
  <si>
    <t>1516084</t>
  </si>
  <si>
    <t>1600000</t>
  </si>
  <si>
    <t>1610000</t>
  </si>
  <si>
    <t>1610160</t>
  </si>
  <si>
    <t>1617690</t>
  </si>
  <si>
    <t>1710000</t>
  </si>
  <si>
    <t>1710160</t>
  </si>
  <si>
    <t>1700000</t>
  </si>
  <si>
    <t>3100000</t>
  </si>
  <si>
    <t>3110000</t>
  </si>
  <si>
    <t>3110160</t>
  </si>
  <si>
    <t>3117130</t>
  </si>
  <si>
    <t>3117610</t>
  </si>
  <si>
    <t>3700000</t>
  </si>
  <si>
    <t>3710000</t>
  </si>
  <si>
    <t>3710160</t>
  </si>
  <si>
    <t>3718340</t>
  </si>
  <si>
    <t>3718600</t>
  </si>
  <si>
    <t>3600000</t>
  </si>
  <si>
    <t>3610000</t>
  </si>
  <si>
    <t>3610160</t>
  </si>
  <si>
    <t>Департамент містобудування та земельних відносин Сумської міської ради</t>
  </si>
  <si>
    <t>1011100</t>
  </si>
  <si>
    <t>1110</t>
  </si>
  <si>
    <t>0611110</t>
  </si>
  <si>
    <t>0611070</t>
  </si>
  <si>
    <t>0611090</t>
  </si>
  <si>
    <t>Інші програми, заклади та заходи у сфері освіти</t>
  </si>
  <si>
    <t>0611160</t>
  </si>
  <si>
    <t>1160</t>
  </si>
  <si>
    <t>Інші програми, заклади та заходи у сфері охорони здоров’я</t>
  </si>
  <si>
    <t>0218120</t>
  </si>
  <si>
    <t>РОЗПОДІЛ
видатків міського бюджету  на 2018 рік за типовою програмною класифікацією видатків та кредитування місцевих бюджетів</t>
  </si>
  <si>
    <t>Загальний фонд</t>
  </si>
  <si>
    <t>Спеціальний фонд</t>
  </si>
  <si>
    <t>Разом</t>
  </si>
  <si>
    <t>Всього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</si>
  <si>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</si>
  <si>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</si>
  <si>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</si>
  <si>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</si>
  <si>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</si>
  <si>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бюджет розвитку</t>
  </si>
  <si>
    <t xml:space="preserve">РОЗПОДІЛ
видатків міського бюджету  на 2018 рік за головними розпорядниками коштів </t>
  </si>
  <si>
    <t>грн.</t>
  </si>
  <si>
    <t>3718700</t>
  </si>
  <si>
    <t>3719110</t>
  </si>
  <si>
    <t>0217426</t>
  </si>
  <si>
    <t>0217530</t>
  </si>
  <si>
    <t>Інші заходи у сфері зв'язку, телекомунікації та інформатики</t>
  </si>
  <si>
    <t>7530</t>
  </si>
  <si>
    <t>0460</t>
  </si>
  <si>
    <t>7500</t>
  </si>
  <si>
    <t>Зв'язок, телекомунікації та інформатика</t>
  </si>
  <si>
    <t>7693</t>
  </si>
  <si>
    <t>0217693</t>
  </si>
  <si>
    <t>0210180</t>
  </si>
  <si>
    <t>Інша діяльність у сфері державного управління</t>
  </si>
  <si>
    <t>0218230</t>
  </si>
  <si>
    <t>8230</t>
  </si>
  <si>
    <t>0380</t>
  </si>
  <si>
    <t>Інші заходи громадського порядку та безпеки</t>
  </si>
  <si>
    <t>0217680</t>
  </si>
  <si>
    <t>7680</t>
  </si>
  <si>
    <t>Членські внески до асоціацій органів місцевого самоврядування</t>
  </si>
  <si>
    <t>8200</t>
  </si>
  <si>
    <t>Громадський порядок та безпека</t>
  </si>
  <si>
    <t>1216090</t>
  </si>
  <si>
    <t>9100</t>
  </si>
  <si>
    <t>0218420</t>
  </si>
  <si>
    <t>8420</t>
  </si>
  <si>
    <t>Інші заходи у сфері засобів масової інформації</t>
  </si>
  <si>
    <t>0213033</t>
  </si>
  <si>
    <t>0217640</t>
  </si>
  <si>
    <t>3717640</t>
  </si>
  <si>
    <t>1416090</t>
  </si>
  <si>
    <t>1216015</t>
  </si>
  <si>
    <t>6015</t>
  </si>
  <si>
    <t>Забезпечення надійної та безперебійної експлуатації ліфтів</t>
  </si>
  <si>
    <t>1216017</t>
  </si>
  <si>
    <t>6017</t>
  </si>
  <si>
    <t xml:space="preserve">Інша діяльність, пов’язана з експлуатацією об’єктів житлово-комунального господарства </t>
  </si>
  <si>
    <t>3117690</t>
  </si>
  <si>
    <t>3117693</t>
  </si>
  <si>
    <t>Інша економічна діяльність</t>
  </si>
  <si>
    <t>0819770</t>
  </si>
  <si>
    <t xml:space="preserve">Інші субвенції з місцевого бюджету </t>
  </si>
  <si>
    <t>у т.ч. за рахунок субвенцій з держбюджету</t>
  </si>
  <si>
    <t>3117650</t>
  </si>
  <si>
    <t>7650</t>
  </si>
  <si>
    <t>3117660</t>
  </si>
  <si>
    <t>7660</t>
  </si>
  <si>
    <t>Проведення експертної  грошової  оцінки  земельної ділянки чи права на неї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</si>
  <si>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</si>
  <si>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0611030</t>
  </si>
  <si>
    <t>1217310</t>
  </si>
  <si>
    <t>7310</t>
  </si>
  <si>
    <t>1217330</t>
  </si>
  <si>
    <t>7330</t>
  </si>
  <si>
    <t>1517310</t>
  </si>
  <si>
    <t>1517320</t>
  </si>
  <si>
    <t>7320</t>
  </si>
  <si>
    <t>1517321</t>
  </si>
  <si>
    <t>7321</t>
  </si>
  <si>
    <t>1517322</t>
  </si>
  <si>
    <t>7322</t>
  </si>
  <si>
    <t>1517325</t>
  </si>
  <si>
    <t>7325</t>
  </si>
  <si>
    <t>1517330</t>
  </si>
  <si>
    <t>Будівництво об'єктів житлово-комунального господарства</t>
  </si>
  <si>
    <t>Будівництво інших об'єктів соціальної та виробничої інфраструктури комунальної власності</t>
  </si>
  <si>
    <t>Будівництво об'єктів соціально-культурного призначення</t>
  </si>
  <si>
    <t>Будівництво освітніх установ та закладів</t>
  </si>
  <si>
    <t>Будівництво споруд, установ та закладів фізичної культури і спорту</t>
  </si>
  <si>
    <t>Будівництво медичних установ та закладів</t>
  </si>
  <si>
    <t>1161</t>
  </si>
  <si>
    <t>1162</t>
  </si>
  <si>
    <t>Забезпечення діяльності інших закладів у сфері освіти</t>
  </si>
  <si>
    <t>Інші програми та заходи у сфері освіти</t>
  </si>
  <si>
    <t>2151</t>
  </si>
  <si>
    <t>2152</t>
  </si>
  <si>
    <t>Забезпечення діяльності інших закладів у сфері охорони здоров’я</t>
  </si>
  <si>
    <t>Інші програми та заходи у сфері охорони здоров’я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</si>
  <si>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</si>
  <si>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</si>
  <si>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3191</t>
  </si>
  <si>
    <t>3192</t>
  </si>
  <si>
    <t>3210</t>
  </si>
  <si>
    <t>3240</t>
  </si>
  <si>
    <t>Інші заклади та заходи</t>
  </si>
  <si>
    <t>3241</t>
  </si>
  <si>
    <t>3242</t>
  </si>
  <si>
    <t>Забезпечення діяльності інших закладів у сфері соціального захисту і соціального забезпечення</t>
  </si>
  <si>
    <t>Інші заходи у сфері соціального захисту і соціального забезпечення</t>
  </si>
  <si>
    <t>Інші заклади та заходи в галузі культури і мистецтва</t>
  </si>
  <si>
    <t>4081</t>
  </si>
  <si>
    <t>4082</t>
  </si>
  <si>
    <t xml:space="preserve">Забезпечення діяльності інших закладів в галузі культури і мистецтва </t>
  </si>
  <si>
    <t>Інші заходи в галузі культури і мистецтва</t>
  </si>
  <si>
    <t>7691</t>
  </si>
  <si>
    <t>Заходи із запобігання та ліквідації надзвичайних ситуацій та наслідків стихійного лиха</t>
  </si>
  <si>
    <t>Дотації з місцевого бюджету іншим бюджетам</t>
  </si>
  <si>
    <t>1617691</t>
  </si>
  <si>
    <t>1217691</t>
  </si>
  <si>
    <t>0217691</t>
  </si>
  <si>
    <t>1213210</t>
  </si>
  <si>
    <t>0214081</t>
  </si>
  <si>
    <t>0214082</t>
  </si>
  <si>
    <t>0213241</t>
  </si>
  <si>
    <t>0213242</t>
  </si>
  <si>
    <t>0213240</t>
  </si>
  <si>
    <t>0611161</t>
  </si>
  <si>
    <t>0611162</t>
  </si>
  <si>
    <t>0813241</t>
  </si>
  <si>
    <t>0813240</t>
  </si>
  <si>
    <t>0813242</t>
  </si>
  <si>
    <t>0212151</t>
  </si>
  <si>
    <t>0212152</t>
  </si>
  <si>
    <t>0813190</t>
  </si>
  <si>
    <t>0813191</t>
  </si>
  <si>
    <t>0813192</t>
  </si>
  <si>
    <t>0813210</t>
  </si>
  <si>
    <t>1616090</t>
  </si>
  <si>
    <t>0640</t>
  </si>
  <si>
    <t>0217450</t>
  </si>
  <si>
    <t>7450</t>
  </si>
  <si>
    <t>0456</t>
  </si>
  <si>
    <t xml:space="preserve">Інша діяльність у сфері транспорту </t>
  </si>
  <si>
    <t>Амбулаторно-поліклінічна допомога населенню, крім первинної медичної допомоги</t>
  </si>
  <si>
    <t>Первинна медична допомога населенню</t>
  </si>
  <si>
    <t>0726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</si>
  <si>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</si>
  <si>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</si>
  <si>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3719770</t>
  </si>
  <si>
    <t>0813090</t>
  </si>
  <si>
    <t>3090</t>
  </si>
  <si>
    <t>Видатки на поховання учасників бойових дій та осіб з інвалідністю внаслідок війни</t>
  </si>
  <si>
    <t>3170</t>
  </si>
  <si>
    <t>3171</t>
  </si>
  <si>
    <t>3172</t>
  </si>
  <si>
    <t>Забезпечення реалізації окремих програм для осіб з інвалідністю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</si>
  <si>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</si>
  <si>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Встановлення телефонів особам з інвалідністю I і II груп</t>
  </si>
  <si>
    <t>0813170</t>
  </si>
  <si>
    <t>0813171</t>
  </si>
  <si>
    <t>0813172</t>
  </si>
  <si>
    <t>Відшкодування вартості лікарських засобів для лікування окремих захворювань</t>
  </si>
  <si>
    <t>0712146</t>
  </si>
  <si>
    <t>3010</t>
  </si>
  <si>
    <t>3011</t>
  </si>
  <si>
    <t>3012</t>
  </si>
  <si>
    <t>3020</t>
  </si>
  <si>
    <t>3021</t>
  </si>
  <si>
    <t>3022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</si>
  <si>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</si>
  <si>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 xml:space="preserve">Надання пільг на оплату житлово-комунальних послуг окремим категоріям громадян відповідно до законодавства </t>
  </si>
  <si>
    <t>Надання субсидій населенню для відшкодування витрат на оплату житлово-комунальних послуг</t>
  </si>
  <si>
    <t>Надання пільг та субсидій населенню на придбання твердого та рідкого пічного побутового палива і скрапленого газу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</si>
  <si>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</si>
  <si>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</si>
  <si>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0813010</t>
  </si>
  <si>
    <t>0813011</t>
  </si>
  <si>
    <t>0813012</t>
  </si>
  <si>
    <t>0813020</t>
  </si>
  <si>
    <t>0813021</t>
  </si>
  <si>
    <t>0813022</t>
  </si>
  <si>
    <t>3040</t>
  </si>
  <si>
    <t>3041</t>
  </si>
  <si>
    <t>3042</t>
  </si>
  <si>
    <t>3043</t>
  </si>
  <si>
    <t>3044</t>
  </si>
  <si>
    <t>3045</t>
  </si>
  <si>
    <t>3046</t>
  </si>
  <si>
    <t>3047</t>
  </si>
  <si>
    <t>Надання допомоги сім'ям з дітьми, малозабезпеченим сім’ям, тимчасової допомоги дітям</t>
  </si>
  <si>
    <t>Надання допомоги у зв'язку з вагітністю і пологами</t>
  </si>
  <si>
    <t>Надання допомоги при усиновленні дитини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</si>
  <si>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</si>
  <si>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</si>
  <si>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</si>
  <si>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</si>
  <si>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державної соціальної допомоги малозабезпеченим сім’ям</t>
  </si>
  <si>
    <t>0813040</t>
  </si>
  <si>
    <t>0813041</t>
  </si>
  <si>
    <t>0813042</t>
  </si>
  <si>
    <t>0813043</t>
  </si>
  <si>
    <t>0813044</t>
  </si>
  <si>
    <t>0813045</t>
  </si>
  <si>
    <t>0813046</t>
  </si>
  <si>
    <t>0813047</t>
  </si>
  <si>
    <t>3080</t>
  </si>
  <si>
    <t>3081</t>
  </si>
  <si>
    <t>3082</t>
  </si>
  <si>
    <t>3083</t>
  </si>
  <si>
    <t>3084</t>
  </si>
  <si>
    <t>3085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</si>
  <si>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</si>
  <si>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</si>
  <si>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сім’ї патронатного вихователя</t>
  </si>
  <si>
    <t>Надання державної соціальної допомоги особам з інвалідністю з дитинства та дітям з інвалідністю</t>
  </si>
  <si>
    <t>Надання державної соціальної допомоги особам,  які не  мають права на пенсію, та особам з інвалідністю, державної соціальної допомоги на догляд</t>
  </si>
  <si>
    <t>Надання допомоги по догляду за особами з інвалідністю I чи II групи внаслідок психічного розладу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</si>
  <si>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</si>
  <si>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</si>
  <si>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0813080</t>
  </si>
  <si>
    <t>0813081</t>
  </si>
  <si>
    <t>0813082</t>
  </si>
  <si>
    <t>0813083</t>
  </si>
  <si>
    <t>0813084</t>
  </si>
  <si>
    <t>0813085</t>
  </si>
  <si>
    <t>0813230</t>
  </si>
  <si>
    <t>0613240</t>
  </si>
  <si>
    <t>0613242</t>
  </si>
  <si>
    <t>1517420</t>
  </si>
  <si>
    <t>1517426</t>
  </si>
  <si>
    <t>Надання загальної середньої освіти загальноосвітніми навчальними закладами (в т. ч. школою-дитячим садком, інтернатом при школі), спеціалізованими школами, ліцеями, гімназіями, колегіумами</t>
  </si>
  <si>
    <t xml:space="preserve">Методичне забезпечення діяльності навчальних закладів  </t>
  </si>
  <si>
    <t>Первинна медична допомога населенню, що надається амбулаторно-поліклінічними закладами (відділеннями)</t>
  </si>
  <si>
    <t>0712113</t>
  </si>
  <si>
    <t>2113</t>
  </si>
  <si>
    <t xml:space="preserve">                Додаток № 3</t>
  </si>
  <si>
    <t xml:space="preserve">                Додаток № 4</t>
  </si>
  <si>
    <t>1517340</t>
  </si>
  <si>
    <t>0214060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</si>
  <si>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</si>
  <si>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</si>
  <si>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</si>
  <si>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до  рішення Сумської  міської  ради</t>
  </si>
  <si>
    <t>«Про   внесення   змін   та  доповнень</t>
  </si>
  <si>
    <t>до   міського  бюджету  на  2018 рік»</t>
  </si>
  <si>
    <t>від 31 січня 2018 року № 3021- МР</t>
  </si>
  <si>
    <t>від 31 січня 2018 року № 3021 - МР</t>
  </si>
  <si>
    <t>Виконавець: Липова С.А.</t>
  </si>
  <si>
    <t>Секретар Сумської міської ради</t>
  </si>
  <si>
    <t>А.В. Баранов</t>
  </si>
</sst>
</file>

<file path=xl/styles.xml><?xml version="1.0" encoding="utf-8"?>
<styleSheet xmlns="http://schemas.openxmlformats.org/spreadsheetml/2006/main">
  <numFmts count="6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\ &quot;₽&quot;;\-#,##0\ &quot;₽&quot;"/>
    <numFmt numFmtId="189" formatCode="#,##0\ &quot;₽&quot;;[Red]\-#,##0\ &quot;₽&quot;"/>
    <numFmt numFmtId="190" formatCode="#,##0.00\ &quot;₽&quot;;\-#,##0.00\ &quot;₽&quot;"/>
    <numFmt numFmtId="191" formatCode="#,##0.00\ &quot;₽&quot;;[Red]\-#,##0.00\ &quot;₽&quot;"/>
    <numFmt numFmtId="192" formatCode="_-* #,##0\ &quot;₽&quot;_-;\-* #,##0\ &quot;₽&quot;_-;_-* &quot;-&quot;\ &quot;₽&quot;_-;_-@_-"/>
    <numFmt numFmtId="193" formatCode="_-* #,##0\ _₽_-;\-* #,##0\ _₽_-;_-* &quot;-&quot;\ _₽_-;_-@_-"/>
    <numFmt numFmtId="194" formatCode="_-* #,##0.00\ &quot;₽&quot;_-;\-* #,##0.00\ &quot;₽&quot;_-;_-* &quot;-&quot;??\ &quot;₽&quot;_-;_-@_-"/>
    <numFmt numFmtId="195" formatCode="_-* #,##0.00\ _₽_-;\-* #,##0.00\ _₽_-;_-* &quot;-&quot;??\ _₽_-;_-@_-"/>
    <numFmt numFmtId="196" formatCode="* #,##0;* \-#,##0;* &quot;-&quot;;@"/>
    <numFmt numFmtId="197" formatCode="* #,##0.00;* \-#,##0.00;* &quot;-&quot;??;@"/>
    <numFmt numFmtId="198" formatCode="* _-#,##0&quot;р.&quot;;* \-#,##0&quot;р.&quot;;* _-&quot;-&quot;&quot;р.&quot;;@"/>
    <numFmt numFmtId="199" formatCode="* _-#,##0.00&quot;р.&quot;;* \-#,##0.00&quot;р.&quot;;* _-&quot;-&quot;??&quot;р.&quot;;@"/>
    <numFmt numFmtId="200" formatCode="#,##0.0"/>
    <numFmt numFmtId="201" formatCode="#,##0_ ;[Red]\-#,##0\ "/>
    <numFmt numFmtId="202" formatCode="#,##0.0_ ;[Red]\-#,##0.0\ "/>
    <numFmt numFmtId="203" formatCode="0.0"/>
    <numFmt numFmtId="204" formatCode="0.0000"/>
    <numFmt numFmtId="205" formatCode="#,##0.0000"/>
    <numFmt numFmtId="206" formatCode="00000000000"/>
    <numFmt numFmtId="207" formatCode="&quot;Так&quot;;&quot;Так&quot;;&quot;Ні&quot;"/>
    <numFmt numFmtId="208" formatCode="&quot;Істина&quot;;&quot;Істина&quot;;&quot;Хибність&quot;"/>
    <numFmt numFmtId="209" formatCode="&quot;Увімк&quot;;&quot;Увімк&quot;;&quot;Вимк&quot;"/>
    <numFmt numFmtId="210" formatCode="[$-FC19]d\ mmmm\ yyyy\ &quot;г.&quot;"/>
    <numFmt numFmtId="211" formatCode="&quot;True&quot;;&quot;True&quot;;&quot;False&quot;"/>
    <numFmt numFmtId="212" formatCode="[$¥€-2]\ ###,000_);[Red]\([$€-2]\ ###,000\)"/>
    <numFmt numFmtId="213" formatCode="#,##0.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[$-FC19]d\ mmmm\ yyyy\ \г\."/>
    <numFmt numFmtId="219" formatCode="#,##0.00000"/>
    <numFmt numFmtId="220" formatCode="#,##0.000000"/>
  </numFmts>
  <fonts count="52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2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sz val="1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color indexed="62"/>
      <name val="Times New Roman"/>
      <family val="1"/>
    </font>
    <font>
      <sz val="10"/>
      <color indexed="16"/>
      <name val="Times New Roman"/>
      <family val="1"/>
    </font>
    <font>
      <b/>
      <i/>
      <sz val="10"/>
      <color indexed="16"/>
      <name val="Times New Roman"/>
      <family val="1"/>
    </font>
    <font>
      <b/>
      <i/>
      <sz val="10"/>
      <name val="Times New Roman"/>
      <family val="1"/>
    </font>
    <font>
      <b/>
      <sz val="20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0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13" borderId="1" applyNumberFormat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1" fillId="0" borderId="0" applyNumberFormat="0" applyFill="0" applyBorder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5" fillId="6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5" fillId="0" borderId="0">
      <alignment vertical="top"/>
      <protection/>
    </xf>
    <xf numFmtId="0" fontId="9" fillId="0" borderId="6" applyNumberFormat="0" applyFill="0" applyAlignment="0" applyProtection="0"/>
    <xf numFmtId="0" fontId="12" fillId="0" borderId="7" applyNumberFormat="0" applyFill="0" applyAlignment="0" applyProtection="0"/>
    <xf numFmtId="0" fontId="10" fillId="25" borderId="8" applyNumberFormat="0" applyAlignment="0" applyProtection="0"/>
    <xf numFmtId="0" fontId="10" fillId="25" borderId="8" applyNumberFormat="0" applyAlignment="0" applyProtection="0"/>
    <xf numFmtId="0" fontId="3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40" fillId="26" borderId="1" applyNumberFormat="0" applyAlignment="0" applyProtection="0"/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10" applyNumberFormat="0" applyFont="0" applyAlignment="0" applyProtection="0"/>
    <xf numFmtId="0" fontId="0" fillId="10" borderId="10" applyNumberFormat="0" applyFont="0" applyAlignment="0" applyProtection="0"/>
    <xf numFmtId="199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1" applyNumberFormat="0" applyFill="0" applyAlignment="0" applyProtection="0"/>
    <xf numFmtId="0" fontId="41" fillId="13" borderId="0" applyNumberFormat="0" applyBorder="0" applyAlignment="0" applyProtection="0"/>
    <xf numFmtId="0" fontId="19" fillId="0" borderId="0">
      <alignment/>
      <protection/>
    </xf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267">
    <xf numFmtId="0" fontId="0" fillId="0" borderId="0" xfId="0" applyAlignment="1">
      <alignment/>
    </xf>
    <xf numFmtId="0" fontId="24" fillId="0" borderId="0" xfId="0" applyNumberFormat="1" applyFont="1" applyFill="1" applyAlignment="1" applyProtection="1">
      <alignment/>
      <protection/>
    </xf>
    <xf numFmtId="0" fontId="24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6" fillId="0" borderId="0" xfId="0" applyFont="1" applyFill="1" applyAlignment="1">
      <alignment vertical="center"/>
    </xf>
    <xf numFmtId="49" fontId="24" fillId="0" borderId="12" xfId="0" applyNumberFormat="1" applyFont="1" applyFill="1" applyBorder="1" applyAlignment="1">
      <alignment horizontal="center" vertical="center"/>
    </xf>
    <xf numFmtId="0" fontId="24" fillId="0" borderId="0" xfId="0" applyNumberFormat="1" applyFont="1" applyFill="1" applyBorder="1" applyAlignment="1" applyProtection="1">
      <alignment/>
      <protection/>
    </xf>
    <xf numFmtId="49" fontId="32" fillId="0" borderId="12" xfId="0" applyNumberFormat="1" applyFont="1" applyFill="1" applyBorder="1" applyAlignment="1">
      <alignment horizontal="center" vertical="center"/>
    </xf>
    <xf numFmtId="0" fontId="32" fillId="0" borderId="0" xfId="0" applyFont="1" applyFill="1" applyAlignment="1">
      <alignment/>
    </xf>
    <xf numFmtId="49" fontId="32" fillId="0" borderId="12" xfId="0" applyNumberFormat="1" applyFont="1" applyFill="1" applyBorder="1" applyAlignment="1">
      <alignment horizontal="center" vertical="center" wrapText="1"/>
    </xf>
    <xf numFmtId="49" fontId="31" fillId="0" borderId="12" xfId="0" applyNumberFormat="1" applyFont="1" applyFill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left" vertical="center" wrapText="1"/>
    </xf>
    <xf numFmtId="49" fontId="24" fillId="0" borderId="12" xfId="0" applyNumberFormat="1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left" vertical="center" wrapText="1"/>
    </xf>
    <xf numFmtId="0" fontId="32" fillId="0" borderId="12" xfId="0" applyFont="1" applyFill="1" applyBorder="1" applyAlignment="1">
      <alignment horizontal="left" vertical="center" wrapText="1"/>
    </xf>
    <xf numFmtId="0" fontId="24" fillId="0" borderId="12" xfId="0" applyFont="1" applyFill="1" applyBorder="1" applyAlignment="1">
      <alignment vertical="center"/>
    </xf>
    <xf numFmtId="0" fontId="24" fillId="0" borderId="0" xfId="0" applyFont="1" applyFill="1" applyBorder="1" applyAlignment="1">
      <alignment/>
    </xf>
    <xf numFmtId="49" fontId="24" fillId="0" borderId="0" xfId="0" applyNumberFormat="1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4" fontId="24" fillId="0" borderId="0" xfId="0" applyNumberFormat="1" applyFont="1" applyFill="1" applyAlignment="1">
      <alignment/>
    </xf>
    <xf numFmtId="0" fontId="31" fillId="0" borderId="0" xfId="0" applyFont="1" applyFill="1" applyBorder="1" applyAlignment="1">
      <alignment/>
    </xf>
    <xf numFmtId="0" fontId="31" fillId="0" borderId="0" xfId="0" applyFont="1" applyFill="1" applyAlignment="1">
      <alignment/>
    </xf>
    <xf numFmtId="49" fontId="31" fillId="0" borderId="12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/>
    </xf>
    <xf numFmtId="0" fontId="24" fillId="0" borderId="12" xfId="0" applyNumberFormat="1" applyFont="1" applyFill="1" applyBorder="1" applyAlignment="1" applyProtection="1">
      <alignment horizontal="center" vertical="center"/>
      <protection/>
    </xf>
    <xf numFmtId="0" fontId="32" fillId="0" borderId="12" xfId="0" applyNumberFormat="1" applyFont="1" applyFill="1" applyBorder="1" applyAlignment="1" applyProtection="1">
      <alignment horizontal="center" vertical="center"/>
      <protection/>
    </xf>
    <xf numFmtId="49" fontId="24" fillId="0" borderId="12" xfId="0" applyNumberFormat="1" applyFont="1" applyFill="1" applyBorder="1" applyAlignment="1" applyProtection="1">
      <alignment horizontal="center" vertical="center"/>
      <protection/>
    </xf>
    <xf numFmtId="49" fontId="32" fillId="0" borderId="12" xfId="0" applyNumberFormat="1" applyFont="1" applyFill="1" applyBorder="1" applyAlignment="1" applyProtection="1">
      <alignment horizontal="center" vertical="center"/>
      <protection/>
    </xf>
    <xf numFmtId="0" fontId="33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34" fillId="0" borderId="12" xfId="0" applyNumberFormat="1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/>
    </xf>
    <xf numFmtId="0" fontId="28" fillId="13" borderId="0" xfId="0" applyFont="1" applyFill="1" applyAlignment="1">
      <alignment vertical="center"/>
    </xf>
    <xf numFmtId="0" fontId="27" fillId="13" borderId="0" xfId="0" applyFont="1" applyFill="1" applyAlignment="1">
      <alignment vertical="center"/>
    </xf>
    <xf numFmtId="0" fontId="31" fillId="0" borderId="12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left" vertical="center" wrapText="1"/>
    </xf>
    <xf numFmtId="0" fontId="27" fillId="0" borderId="12" xfId="0" applyNumberFormat="1" applyFont="1" applyFill="1" applyBorder="1" applyAlignment="1" applyProtection="1">
      <alignment horizontal="center" vertical="center"/>
      <protection/>
    </xf>
    <xf numFmtId="49" fontId="35" fillId="0" borderId="12" xfId="0" applyNumberFormat="1" applyFont="1" applyFill="1" applyBorder="1" applyAlignment="1" applyProtection="1">
      <alignment horizontal="center" vertical="center"/>
      <protection/>
    </xf>
    <xf numFmtId="0" fontId="26" fillId="0" borderId="12" xfId="0" applyNumberFormat="1" applyFont="1" applyFill="1" applyBorder="1" applyAlignment="1" applyProtection="1">
      <alignment horizontal="center" vertical="center" wrapText="1"/>
      <protection/>
    </xf>
    <xf numFmtId="0" fontId="31" fillId="0" borderId="12" xfId="0" applyFont="1" applyFill="1" applyBorder="1" applyAlignment="1">
      <alignment vertical="center" wrapText="1"/>
    </xf>
    <xf numFmtId="0" fontId="32" fillId="0" borderId="12" xfId="0" applyFont="1" applyFill="1" applyBorder="1" applyAlignment="1">
      <alignment vertical="center" wrapText="1"/>
    </xf>
    <xf numFmtId="0" fontId="24" fillId="0" borderId="12" xfId="0" applyFont="1" applyBorder="1" applyAlignment="1">
      <alignment vertical="center" wrapText="1"/>
    </xf>
    <xf numFmtId="0" fontId="24" fillId="0" borderId="0" xfId="0" applyNumberFormat="1" applyFont="1" applyFill="1" applyAlignment="1" applyProtection="1">
      <alignment wrapText="1"/>
      <protection/>
    </xf>
    <xf numFmtId="0" fontId="24" fillId="0" borderId="0" xfId="0" applyNumberFormat="1" applyFont="1" applyFill="1" applyBorder="1" applyAlignment="1" applyProtection="1">
      <alignment wrapText="1"/>
      <protection/>
    </xf>
    <xf numFmtId="0" fontId="24" fillId="0" borderId="0" xfId="0" applyFont="1" applyFill="1" applyBorder="1" applyAlignment="1">
      <alignment horizontal="center" wrapText="1"/>
    </xf>
    <xf numFmtId="0" fontId="32" fillId="0" borderId="12" xfId="0" applyFont="1" applyBorder="1" applyAlignment="1">
      <alignment vertical="center" wrapText="1"/>
    </xf>
    <xf numFmtId="4" fontId="27" fillId="0" borderId="12" xfId="0" applyNumberFormat="1" applyFont="1" applyFill="1" applyBorder="1" applyAlignment="1">
      <alignment vertical="center"/>
    </xf>
    <xf numFmtId="4" fontId="27" fillId="0" borderId="12" xfId="0" applyNumberFormat="1" applyFont="1" applyFill="1" applyBorder="1" applyAlignment="1">
      <alignment vertical="center"/>
    </xf>
    <xf numFmtId="4" fontId="24" fillId="0" borderId="12" xfId="0" applyNumberFormat="1" applyFont="1" applyFill="1" applyBorder="1" applyAlignment="1">
      <alignment/>
    </xf>
    <xf numFmtId="4" fontId="31" fillId="0" borderId="12" xfId="0" applyNumberFormat="1" applyFont="1" applyFill="1" applyBorder="1" applyAlignment="1">
      <alignment/>
    </xf>
    <xf numFmtId="4" fontId="32" fillId="0" borderId="12" xfId="0" applyNumberFormat="1" applyFont="1" applyFill="1" applyBorder="1" applyAlignment="1">
      <alignment/>
    </xf>
    <xf numFmtId="4" fontId="24" fillId="0" borderId="12" xfId="0" applyNumberFormat="1" applyFont="1" applyFill="1" applyBorder="1" applyAlignment="1">
      <alignment vertical="center"/>
    </xf>
    <xf numFmtId="4" fontId="32" fillId="0" borderId="12" xfId="0" applyNumberFormat="1" applyFont="1" applyFill="1" applyBorder="1" applyAlignment="1">
      <alignment vertical="center"/>
    </xf>
    <xf numFmtId="49" fontId="24" fillId="0" borderId="12" xfId="0" applyNumberFormat="1" applyFont="1" applyFill="1" applyBorder="1" applyAlignment="1" applyProtection="1">
      <alignment horizontal="left" vertical="center" wrapText="1"/>
      <protection/>
    </xf>
    <xf numFmtId="49" fontId="31" fillId="0" borderId="12" xfId="0" applyNumberFormat="1" applyFont="1" applyFill="1" applyBorder="1" applyAlignment="1">
      <alignment horizontal="left" vertical="center"/>
    </xf>
    <xf numFmtId="4" fontId="31" fillId="0" borderId="12" xfId="0" applyNumberFormat="1" applyFont="1" applyFill="1" applyBorder="1" applyAlignment="1">
      <alignment vertical="center"/>
    </xf>
    <xf numFmtId="4" fontId="24" fillId="0" borderId="0" xfId="0" applyNumberFormat="1" applyFont="1" applyFill="1" applyBorder="1" applyAlignment="1">
      <alignment/>
    </xf>
    <xf numFmtId="4" fontId="24" fillId="0" borderId="0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/>
    </xf>
    <xf numFmtId="49" fontId="35" fillId="0" borderId="12" xfId="0" applyNumberFormat="1" applyFont="1" applyFill="1" applyBorder="1" applyAlignment="1" applyProtection="1">
      <alignment horizontal="center" vertical="center"/>
      <protection/>
    </xf>
    <xf numFmtId="0" fontId="27" fillId="0" borderId="12" xfId="0" applyNumberFormat="1" applyFont="1" applyFill="1" applyBorder="1" applyAlignment="1" applyProtection="1">
      <alignment horizontal="center" vertical="center"/>
      <protection/>
    </xf>
    <xf numFmtId="49" fontId="31" fillId="0" borderId="12" xfId="0" applyNumberFormat="1" applyFont="1" applyFill="1" applyBorder="1" applyAlignment="1">
      <alignment horizontal="center" vertical="center"/>
    </xf>
    <xf numFmtId="4" fontId="31" fillId="0" borderId="12" xfId="0" applyNumberFormat="1" applyFont="1" applyFill="1" applyBorder="1" applyAlignment="1">
      <alignment/>
    </xf>
    <xf numFmtId="0" fontId="24" fillId="0" borderId="0" xfId="0" applyFont="1" applyFill="1" applyBorder="1" applyAlignment="1">
      <alignment wrapText="1"/>
    </xf>
    <xf numFmtId="49" fontId="26" fillId="0" borderId="0" xfId="0" applyNumberFormat="1" applyFont="1" applyFill="1" applyAlignment="1" applyProtection="1">
      <alignment horizontal="center"/>
      <protection/>
    </xf>
    <xf numFmtId="0" fontId="26" fillId="0" borderId="0" xfId="0" applyNumberFormat="1" applyFont="1" applyFill="1" applyAlignment="1" applyProtection="1">
      <alignment horizontal="center"/>
      <protection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 horizontal="left" vertical="center"/>
    </xf>
    <xf numFmtId="49" fontId="26" fillId="0" borderId="0" xfId="0" applyNumberFormat="1" applyFont="1" applyFill="1" applyBorder="1" applyAlignment="1" applyProtection="1">
      <alignment horizontal="center" vertical="center"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>
      <alignment horizontal="left" vertical="center" wrapText="1"/>
    </xf>
    <xf numFmtId="49" fontId="26" fillId="0" borderId="0" xfId="0" applyNumberFormat="1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 wrapText="1"/>
    </xf>
    <xf numFmtId="4" fontId="26" fillId="0" borderId="0" xfId="0" applyNumberFormat="1" applyFont="1" applyFill="1" applyBorder="1" applyAlignment="1">
      <alignment/>
    </xf>
    <xf numFmtId="49" fontId="26" fillId="0" borderId="0" xfId="0" applyNumberFormat="1" applyFont="1" applyFill="1" applyAlignment="1" applyProtection="1">
      <alignment horizontal="center"/>
      <protection/>
    </xf>
    <xf numFmtId="0" fontId="26" fillId="0" borderId="0" xfId="0" applyNumberFormat="1" applyFont="1" applyFill="1" applyAlignment="1" applyProtection="1">
      <alignment horizontal="center"/>
      <protection/>
    </xf>
    <xf numFmtId="49" fontId="26" fillId="0" borderId="0" xfId="0" applyNumberFormat="1" applyFont="1" applyFill="1" applyBorder="1" applyAlignment="1">
      <alignment vertical="center" wrapText="1"/>
    </xf>
    <xf numFmtId="49" fontId="26" fillId="0" borderId="0" xfId="0" applyNumberFormat="1" applyFont="1" applyFill="1" applyBorder="1" applyAlignment="1">
      <alignment horizontal="center" vertical="center"/>
    </xf>
    <xf numFmtId="0" fontId="26" fillId="0" borderId="0" xfId="0" applyNumberFormat="1" applyFont="1" applyFill="1" applyBorder="1" applyAlignment="1" applyProtection="1">
      <alignment/>
      <protection/>
    </xf>
    <xf numFmtId="0" fontId="26" fillId="4" borderId="0" xfId="0" applyNumberFormat="1" applyFont="1" applyFill="1" applyAlignment="1" applyProtection="1">
      <alignment horizontal="center"/>
      <protection/>
    </xf>
    <xf numFmtId="49" fontId="31" fillId="0" borderId="12" xfId="0" applyNumberFormat="1" applyFont="1" applyFill="1" applyBorder="1" applyAlignment="1">
      <alignment horizontal="left" vertical="center" wrapText="1"/>
    </xf>
    <xf numFmtId="49" fontId="26" fillId="0" borderId="0" xfId="0" applyNumberFormat="1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right" wrapText="1"/>
    </xf>
    <xf numFmtId="4" fontId="26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/>
    </xf>
    <xf numFmtId="4" fontId="29" fillId="0" borderId="12" xfId="0" applyNumberFormat="1" applyFont="1" applyFill="1" applyBorder="1" applyAlignment="1">
      <alignment vertical="center"/>
    </xf>
    <xf numFmtId="49" fontId="26" fillId="0" borderId="12" xfId="0" applyNumberFormat="1" applyFont="1" applyFill="1" applyBorder="1" applyAlignment="1" applyProtection="1">
      <alignment horizontal="center" vertical="center"/>
      <protection/>
    </xf>
    <xf numFmtId="0" fontId="26" fillId="0" borderId="12" xfId="0" applyFont="1" applyFill="1" applyBorder="1" applyAlignment="1">
      <alignment horizontal="left" vertical="center" wrapText="1"/>
    </xf>
    <xf numFmtId="4" fontId="26" fillId="0" borderId="12" xfId="0" applyNumberFormat="1" applyFont="1" applyFill="1" applyBorder="1" applyAlignment="1">
      <alignment vertical="center"/>
    </xf>
    <xf numFmtId="49" fontId="28" fillId="0" borderId="12" xfId="0" applyNumberFormat="1" applyFont="1" applyFill="1" applyBorder="1" applyAlignment="1" applyProtection="1">
      <alignment horizontal="center" vertical="center"/>
      <protection/>
    </xf>
    <xf numFmtId="0" fontId="28" fillId="0" borderId="12" xfId="0" applyFont="1" applyFill="1" applyBorder="1" applyAlignment="1">
      <alignment horizontal="left" vertical="center" wrapText="1"/>
    </xf>
    <xf numFmtId="4" fontId="28" fillId="0" borderId="12" xfId="0" applyNumberFormat="1" applyFont="1" applyFill="1" applyBorder="1" applyAlignment="1">
      <alignment vertical="center"/>
    </xf>
    <xf numFmtId="49" fontId="26" fillId="0" borderId="12" xfId="0" applyNumberFormat="1" applyFont="1" applyFill="1" applyBorder="1" applyAlignment="1" applyProtection="1">
      <alignment horizontal="center" vertical="center"/>
      <protection/>
    </xf>
    <xf numFmtId="0" fontId="26" fillId="0" borderId="12" xfId="0" applyFont="1" applyFill="1" applyBorder="1" applyAlignment="1">
      <alignment horizontal="left" vertical="center" wrapText="1"/>
    </xf>
    <xf numFmtId="4" fontId="26" fillId="0" borderId="12" xfId="0" applyNumberFormat="1" applyFont="1" applyFill="1" applyBorder="1" applyAlignment="1">
      <alignment vertical="center"/>
    </xf>
    <xf numFmtId="49" fontId="26" fillId="0" borderId="12" xfId="0" applyNumberFormat="1" applyFont="1" applyFill="1" applyBorder="1" applyAlignment="1">
      <alignment horizontal="center" vertical="center"/>
    </xf>
    <xf numFmtId="49" fontId="26" fillId="0" borderId="12" xfId="0" applyNumberFormat="1" applyFont="1" applyFill="1" applyBorder="1" applyAlignment="1">
      <alignment horizontal="center" vertical="center"/>
    </xf>
    <xf numFmtId="0" fontId="26" fillId="0" borderId="12" xfId="0" applyNumberFormat="1" applyFont="1" applyFill="1" applyBorder="1" applyAlignment="1" applyProtection="1">
      <alignment horizontal="center" vertical="center"/>
      <protection/>
    </xf>
    <xf numFmtId="0" fontId="26" fillId="0" borderId="12" xfId="0" applyNumberFormat="1" applyFont="1" applyFill="1" applyBorder="1" applyAlignment="1" applyProtection="1">
      <alignment horizontal="center" vertical="center"/>
      <protection/>
    </xf>
    <xf numFmtId="0" fontId="28" fillId="0" borderId="12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>
      <alignment horizontal="left" vertical="center" wrapText="1"/>
    </xf>
    <xf numFmtId="4" fontId="27" fillId="0" borderId="0" xfId="0" applyNumberFormat="1" applyFont="1" applyFill="1" applyBorder="1" applyAlignment="1">
      <alignment vertical="center"/>
    </xf>
    <xf numFmtId="49" fontId="35" fillId="0" borderId="0" xfId="0" applyNumberFormat="1" applyFont="1" applyFill="1" applyBorder="1" applyAlignment="1" applyProtection="1">
      <alignment horizontal="center" vertical="center"/>
      <protection/>
    </xf>
    <xf numFmtId="49" fontId="31" fillId="0" borderId="0" xfId="0" applyNumberFormat="1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left" vertical="center" wrapText="1"/>
    </xf>
    <xf numFmtId="4" fontId="31" fillId="0" borderId="0" xfId="0" applyNumberFormat="1" applyFont="1" applyFill="1" applyBorder="1" applyAlignment="1">
      <alignment/>
    </xf>
    <xf numFmtId="49" fontId="26" fillId="0" borderId="0" xfId="0" applyNumberFormat="1" applyFont="1" applyFill="1" applyBorder="1" applyAlignment="1" applyProtection="1">
      <alignment horizontal="center"/>
      <protection/>
    </xf>
    <xf numFmtId="49" fontId="26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horizontal="center"/>
      <protection/>
    </xf>
    <xf numFmtId="0" fontId="28" fillId="0" borderId="12" xfId="0" applyNumberFormat="1" applyFont="1" applyFill="1" applyBorder="1" applyAlignment="1">
      <alignment horizontal="center" vertical="center"/>
    </xf>
    <xf numFmtId="0" fontId="26" fillId="0" borderId="12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wrapText="1"/>
    </xf>
    <xf numFmtId="0" fontId="26" fillId="0" borderId="0" xfId="0" applyNumberFormat="1" applyFont="1" applyFill="1" applyBorder="1" applyAlignment="1" applyProtection="1">
      <alignment horizontal="right" wrapText="1"/>
      <protection/>
    </xf>
    <xf numFmtId="0" fontId="26" fillId="0" borderId="0" xfId="0" applyNumberFormat="1" applyFont="1" applyFill="1" applyBorder="1" applyAlignment="1" applyProtection="1">
      <alignment wrapText="1"/>
      <protection/>
    </xf>
    <xf numFmtId="4" fontId="26" fillId="0" borderId="0" xfId="0" applyNumberFormat="1" applyFont="1" applyFill="1" applyBorder="1" applyAlignment="1">
      <alignment horizontal="center" vertical="center" wrapText="1"/>
    </xf>
    <xf numFmtId="0" fontId="26" fillId="0" borderId="0" xfId="0" applyNumberFormat="1" applyFont="1" applyFill="1" applyAlignment="1" applyProtection="1">
      <alignment wrapText="1"/>
      <protection/>
    </xf>
    <xf numFmtId="49" fontId="28" fillId="0" borderId="12" xfId="0" applyNumberFormat="1" applyFont="1" applyFill="1" applyBorder="1" applyAlignment="1" applyProtection="1">
      <alignment horizontal="left" vertical="center" wrapText="1"/>
      <protection/>
    </xf>
    <xf numFmtId="49" fontId="26" fillId="0" borderId="12" xfId="0" applyNumberFormat="1" applyFont="1" applyFill="1" applyBorder="1" applyAlignment="1" applyProtection="1">
      <alignment horizontal="left" vertical="center" wrapText="1"/>
      <protection/>
    </xf>
    <xf numFmtId="49" fontId="26" fillId="0" borderId="12" xfId="0" applyNumberFormat="1" applyFont="1" applyFill="1" applyBorder="1" applyAlignment="1">
      <alignment horizontal="left" vertical="center" wrapText="1"/>
    </xf>
    <xf numFmtId="49" fontId="26" fillId="0" borderId="12" xfId="0" applyNumberFormat="1" applyFont="1" applyFill="1" applyBorder="1" applyAlignment="1" applyProtection="1">
      <alignment horizontal="left" vertical="center" wrapText="1"/>
      <protection/>
    </xf>
    <xf numFmtId="49" fontId="26" fillId="0" borderId="12" xfId="0" applyNumberFormat="1" applyFont="1" applyFill="1" applyBorder="1" applyAlignment="1" applyProtection="1">
      <alignment horizontal="left" vertical="center"/>
      <protection/>
    </xf>
    <xf numFmtId="0" fontId="26" fillId="0" borderId="12" xfId="0" applyNumberFormat="1" applyFont="1" applyFill="1" applyBorder="1" applyAlignment="1" applyProtection="1">
      <alignment horizontal="left" vertical="center" wrapText="1"/>
      <protection/>
    </xf>
    <xf numFmtId="49" fontId="26" fillId="0" borderId="12" xfId="0" applyNumberFormat="1" applyFont="1" applyFill="1" applyBorder="1" applyAlignment="1">
      <alignment horizontal="left" vertical="center" wrapText="1"/>
    </xf>
    <xf numFmtId="49" fontId="26" fillId="0" borderId="12" xfId="0" applyNumberFormat="1" applyFont="1" applyFill="1" applyBorder="1" applyAlignment="1" applyProtection="1">
      <alignment horizontal="left" vertical="center"/>
      <protection/>
    </xf>
    <xf numFmtId="49" fontId="27" fillId="0" borderId="12" xfId="0" applyNumberFormat="1" applyFont="1" applyFill="1" applyBorder="1" applyAlignment="1" applyProtection="1">
      <alignment horizontal="center" vertical="center"/>
      <protection/>
    </xf>
    <xf numFmtId="0" fontId="27" fillId="0" borderId="12" xfId="0" applyFont="1" applyFill="1" applyBorder="1" applyAlignment="1">
      <alignment vertical="center" wrapText="1"/>
    </xf>
    <xf numFmtId="0" fontId="27" fillId="0" borderId="0" xfId="0" applyFont="1" applyFill="1" applyAlignment="1">
      <alignment vertical="center"/>
    </xf>
    <xf numFmtId="49" fontId="29" fillId="0" borderId="12" xfId="0" applyNumberFormat="1" applyFont="1" applyFill="1" applyBorder="1" applyAlignment="1" applyProtection="1">
      <alignment horizontal="center" vertical="center"/>
      <protection/>
    </xf>
    <xf numFmtId="0" fontId="29" fillId="0" borderId="12" xfId="0" applyFont="1" applyFill="1" applyBorder="1" applyAlignment="1">
      <alignment vertical="center" wrapText="1"/>
    </xf>
    <xf numFmtId="0" fontId="29" fillId="0" borderId="0" xfId="0" applyFont="1" applyFill="1" applyAlignment="1">
      <alignment vertical="center"/>
    </xf>
    <xf numFmtId="49" fontId="28" fillId="0" borderId="12" xfId="0" applyNumberFormat="1" applyFont="1" applyFill="1" applyBorder="1" applyAlignment="1" applyProtection="1">
      <alignment horizontal="left" vertical="center"/>
      <protection/>
    </xf>
    <xf numFmtId="0" fontId="28" fillId="0" borderId="0" xfId="0" applyFont="1" applyFill="1" applyAlignment="1">
      <alignment vertical="center"/>
    </xf>
    <xf numFmtId="49" fontId="28" fillId="0" borderId="12" xfId="0" applyNumberFormat="1" applyFont="1" applyFill="1" applyBorder="1" applyAlignment="1">
      <alignment horizontal="center" vertical="center"/>
    </xf>
    <xf numFmtId="49" fontId="28" fillId="0" borderId="12" xfId="0" applyNumberFormat="1" applyFont="1" applyFill="1" applyBorder="1" applyAlignment="1">
      <alignment horizontal="left" vertical="center" wrapText="1"/>
    </xf>
    <xf numFmtId="0" fontId="26" fillId="0" borderId="0" xfId="0" applyFont="1" applyFill="1" applyAlignment="1">
      <alignment vertical="center"/>
    </xf>
    <xf numFmtId="49" fontId="28" fillId="0" borderId="12" xfId="0" applyNumberFormat="1" applyFont="1" applyFill="1" applyBorder="1" applyAlignment="1">
      <alignment horizontal="left" vertical="center"/>
    </xf>
    <xf numFmtId="49" fontId="27" fillId="0" borderId="12" xfId="0" applyNumberFormat="1" applyFont="1" applyFill="1" applyBorder="1" applyAlignment="1">
      <alignment horizontal="center" vertical="center"/>
    </xf>
    <xf numFmtId="0" fontId="27" fillId="0" borderId="12" xfId="0" applyNumberFormat="1" applyFont="1" applyFill="1" applyBorder="1" applyAlignment="1">
      <alignment horizontal="center" vertical="center"/>
    </xf>
    <xf numFmtId="49" fontId="29" fillId="0" borderId="12" xfId="0" applyNumberFormat="1" applyFont="1" applyFill="1" applyBorder="1" applyAlignment="1">
      <alignment horizontal="center" vertical="center"/>
    </xf>
    <xf numFmtId="0" fontId="29" fillId="0" borderId="12" xfId="0" applyNumberFormat="1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horizontal="left" vertical="center" wrapText="1"/>
    </xf>
    <xf numFmtId="0" fontId="29" fillId="0" borderId="12" xfId="0" applyNumberFormat="1" applyFont="1" applyFill="1" applyBorder="1" applyAlignment="1" applyProtection="1">
      <alignment horizontal="center" vertical="center"/>
      <protection/>
    </xf>
    <xf numFmtId="0" fontId="26" fillId="0" borderId="12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49" fontId="26" fillId="0" borderId="12" xfId="0" applyNumberFormat="1" applyFont="1" applyFill="1" applyBorder="1" applyAlignment="1" applyProtection="1">
      <alignment vertical="center" wrapText="1"/>
      <protection/>
    </xf>
    <xf numFmtId="49" fontId="26" fillId="0" borderId="12" xfId="0" applyNumberFormat="1" applyFont="1" applyFill="1" applyBorder="1" applyAlignment="1">
      <alignment horizontal="left" vertical="center"/>
    </xf>
    <xf numFmtId="49" fontId="28" fillId="0" borderId="12" xfId="0" applyNumberFormat="1" applyFont="1" applyFill="1" applyBorder="1" applyAlignment="1" applyProtection="1">
      <alignment vertical="center" wrapText="1"/>
      <protection/>
    </xf>
    <xf numFmtId="4" fontId="26" fillId="0" borderId="12" xfId="0" applyNumberFormat="1" applyFont="1" applyFill="1" applyBorder="1" applyAlignment="1">
      <alignment horizontal="right" vertical="center"/>
    </xf>
    <xf numFmtId="4" fontId="26" fillId="0" borderId="12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26" fillId="0" borderId="13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7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26" fillId="0" borderId="12" xfId="0" applyFont="1" applyFill="1" applyBorder="1" applyAlignment="1">
      <alignment/>
    </xf>
    <xf numFmtId="0" fontId="26" fillId="0" borderId="0" xfId="0" applyNumberFormat="1" applyFont="1" applyFill="1" applyBorder="1" applyAlignment="1" applyProtection="1">
      <alignment wrapText="1"/>
      <protection/>
    </xf>
    <xf numFmtId="0" fontId="26" fillId="0" borderId="0" xfId="0" applyFont="1" applyFill="1" applyBorder="1" applyAlignment="1">
      <alignment vertical="center"/>
    </xf>
    <xf numFmtId="0" fontId="26" fillId="0" borderId="0" xfId="0" applyNumberFormat="1" applyFont="1" applyFill="1" applyBorder="1" applyAlignment="1" applyProtection="1">
      <alignment vertical="top" wrapText="1"/>
      <protection/>
    </xf>
    <xf numFmtId="0" fontId="26" fillId="0" borderId="14" xfId="0" applyFont="1" applyFill="1" applyBorder="1" applyAlignment="1">
      <alignment/>
    </xf>
    <xf numFmtId="49" fontId="26" fillId="0" borderId="12" xfId="0" applyNumberFormat="1" applyFont="1" applyFill="1" applyBorder="1" applyAlignment="1" applyProtection="1">
      <alignment horizontal="center" vertical="center" wrapText="1"/>
      <protection/>
    </xf>
    <xf numFmtId="49" fontId="28" fillId="0" borderId="12" xfId="0" applyNumberFormat="1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/>
    </xf>
    <xf numFmtId="0" fontId="26" fillId="0" borderId="12" xfId="0" applyNumberFormat="1" applyFont="1" applyFill="1" applyBorder="1" applyAlignment="1" applyProtection="1">
      <alignment horizontal="left" vertical="center" wrapText="1" shrinkToFit="1"/>
      <protection/>
    </xf>
    <xf numFmtId="0" fontId="28" fillId="0" borderId="12" xfId="0" applyNumberFormat="1" applyFont="1" applyFill="1" applyBorder="1" applyAlignment="1" applyProtection="1">
      <alignment horizontal="left" vertical="center" wrapText="1" shrinkToFit="1"/>
      <protection/>
    </xf>
    <xf numFmtId="49" fontId="28" fillId="0" borderId="12" xfId="0" applyNumberFormat="1" applyFont="1" applyFill="1" applyBorder="1" applyAlignment="1" applyProtection="1">
      <alignment horizontal="center" vertical="center" wrapText="1"/>
      <protection/>
    </xf>
    <xf numFmtId="0" fontId="32" fillId="0" borderId="12" xfId="0" applyFont="1" applyFill="1" applyBorder="1" applyAlignment="1">
      <alignment horizontal="center" vertical="center" wrapText="1"/>
    </xf>
    <xf numFmtId="49" fontId="26" fillId="0" borderId="12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Fill="1" applyAlignment="1" applyProtection="1">
      <alignment/>
      <protection/>
    </xf>
    <xf numFmtId="3" fontId="30" fillId="0" borderId="0" xfId="0" applyNumberFormat="1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left" vertical="center" wrapText="1"/>
    </xf>
    <xf numFmtId="0" fontId="0" fillId="13" borderId="0" xfId="0" applyFont="1" applyFill="1" applyBorder="1" applyAlignment="1">
      <alignment/>
    </xf>
    <xf numFmtId="4" fontId="0" fillId="4" borderId="0" xfId="0" applyNumberFormat="1" applyFont="1" applyFill="1" applyBorder="1" applyAlignment="1">
      <alignment/>
    </xf>
    <xf numFmtId="4" fontId="26" fillId="27" borderId="0" xfId="0" applyNumberFormat="1" applyFont="1" applyFill="1" applyBorder="1" applyAlignment="1">
      <alignment/>
    </xf>
    <xf numFmtId="4" fontId="46" fillId="4" borderId="13" xfId="0" applyNumberFormat="1" applyFont="1" applyFill="1" applyBorder="1" applyAlignment="1">
      <alignment vertical="center"/>
    </xf>
    <xf numFmtId="4" fontId="47" fillId="4" borderId="13" xfId="0" applyNumberFormat="1" applyFont="1" applyFill="1" applyBorder="1" applyAlignment="1">
      <alignment vertical="center"/>
    </xf>
    <xf numFmtId="0" fontId="24" fillId="13" borderId="0" xfId="0" applyFont="1" applyFill="1" applyBorder="1" applyAlignment="1">
      <alignment/>
    </xf>
    <xf numFmtId="0" fontId="0" fillId="13" borderId="0" xfId="0" applyFont="1" applyFill="1" applyBorder="1" applyAlignment="1">
      <alignment/>
    </xf>
    <xf numFmtId="0" fontId="0" fillId="13" borderId="0" xfId="0" applyFont="1" applyFill="1" applyBorder="1" applyAlignment="1">
      <alignment horizontal="center" vertical="center" wrapText="1"/>
    </xf>
    <xf numFmtId="9" fontId="0" fillId="13" borderId="0" xfId="0" applyNumberFormat="1" applyFont="1" applyFill="1" applyBorder="1" applyAlignment="1">
      <alignment horizontal="center" vertical="center"/>
    </xf>
    <xf numFmtId="10" fontId="0" fillId="13" borderId="0" xfId="0" applyNumberFormat="1" applyFont="1" applyFill="1" applyBorder="1" applyAlignment="1">
      <alignment horizontal="center" vertical="center"/>
    </xf>
    <xf numFmtId="0" fontId="0" fillId="13" borderId="0" xfId="0" applyFont="1" applyFill="1" applyBorder="1" applyAlignment="1">
      <alignment horizontal="center"/>
    </xf>
    <xf numFmtId="4" fontId="43" fillId="7" borderId="0" xfId="0" applyNumberFormat="1" applyFont="1" applyFill="1" applyBorder="1" applyAlignment="1">
      <alignment vertical="center"/>
    </xf>
    <xf numFmtId="4" fontId="43" fillId="4" borderId="0" xfId="0" applyNumberFormat="1" applyFont="1" applyFill="1" applyBorder="1" applyAlignment="1">
      <alignment vertical="center"/>
    </xf>
    <xf numFmtId="4" fontId="48" fillId="13" borderId="0" xfId="0" applyNumberFormat="1" applyFont="1" applyFill="1" applyBorder="1" applyAlignment="1">
      <alignment vertical="center"/>
    </xf>
    <xf numFmtId="4" fontId="0" fillId="13" borderId="0" xfId="0" applyNumberFormat="1" applyFont="1" applyFill="1" applyBorder="1" applyAlignment="1">
      <alignment vertical="center"/>
    </xf>
    <xf numFmtId="4" fontId="0" fillId="4" borderId="0" xfId="0" applyNumberFormat="1" applyFont="1" applyFill="1" applyBorder="1" applyAlignment="1">
      <alignment vertical="center"/>
    </xf>
    <xf numFmtId="4" fontId="44" fillId="13" borderId="0" xfId="0" applyNumberFormat="1" applyFont="1" applyFill="1" applyBorder="1" applyAlignment="1">
      <alignment vertical="center"/>
    </xf>
    <xf numFmtId="4" fontId="44" fillId="20" borderId="0" xfId="0" applyNumberFormat="1" applyFont="1" applyFill="1" applyBorder="1" applyAlignment="1">
      <alignment vertical="center"/>
    </xf>
    <xf numFmtId="4" fontId="29" fillId="0" borderId="0" xfId="0" applyNumberFormat="1" applyFont="1" applyFill="1" applyBorder="1" applyAlignment="1">
      <alignment vertical="center"/>
    </xf>
    <xf numFmtId="4" fontId="26" fillId="0" borderId="0" xfId="0" applyNumberFormat="1" applyFont="1" applyFill="1" applyBorder="1" applyAlignment="1">
      <alignment vertical="center"/>
    </xf>
    <xf numFmtId="4" fontId="44" fillId="0" borderId="0" xfId="0" applyNumberFormat="1" applyFont="1" applyFill="1" applyBorder="1" applyAlignment="1">
      <alignment vertical="center"/>
    </xf>
    <xf numFmtId="4" fontId="48" fillId="4" borderId="0" xfId="0" applyNumberFormat="1" applyFont="1" applyFill="1" applyBorder="1" applyAlignment="1">
      <alignment vertical="center"/>
    </xf>
    <xf numFmtId="4" fontId="26" fillId="0" borderId="0" xfId="0" applyNumberFormat="1" applyFont="1" applyFill="1" applyBorder="1" applyAlignment="1">
      <alignment vertical="center"/>
    </xf>
    <xf numFmtId="4" fontId="0" fillId="20" borderId="0" xfId="0" applyNumberFormat="1" applyFont="1" applyFill="1" applyBorder="1" applyAlignment="1">
      <alignment vertical="center"/>
    </xf>
    <xf numFmtId="0" fontId="27" fillId="13" borderId="0" xfId="0" applyFont="1" applyFill="1" applyBorder="1" applyAlignment="1">
      <alignment vertical="center"/>
    </xf>
    <xf numFmtId="0" fontId="45" fillId="13" borderId="0" xfId="0" applyFont="1" applyFill="1" applyBorder="1" applyAlignment="1">
      <alignment horizontal="center" vertical="center" wrapText="1"/>
    </xf>
    <xf numFmtId="0" fontId="45" fillId="7" borderId="0" xfId="0" applyFont="1" applyFill="1" applyBorder="1" applyAlignment="1">
      <alignment horizontal="center" vertical="center" wrapText="1"/>
    </xf>
    <xf numFmtId="0" fontId="45" fillId="13" borderId="0" xfId="0" applyFont="1" applyFill="1" applyBorder="1" applyAlignment="1">
      <alignment horizontal="center" vertical="center"/>
    </xf>
    <xf numFmtId="10" fontId="45" fillId="13" borderId="0" xfId="0" applyNumberFormat="1" applyFont="1" applyFill="1" applyBorder="1" applyAlignment="1">
      <alignment horizontal="center" vertical="center"/>
    </xf>
    <xf numFmtId="9" fontId="45" fillId="7" borderId="0" xfId="0" applyNumberFormat="1" applyFont="1" applyFill="1" applyBorder="1" applyAlignment="1">
      <alignment horizontal="center" vertical="center"/>
    </xf>
    <xf numFmtId="0" fontId="45" fillId="7" borderId="0" xfId="0" applyFont="1" applyFill="1" applyBorder="1" applyAlignment="1">
      <alignment horizontal="center"/>
    </xf>
    <xf numFmtId="4" fontId="43" fillId="0" borderId="0" xfId="0" applyNumberFormat="1" applyFont="1" applyFill="1" applyBorder="1" applyAlignment="1">
      <alignment vertical="center"/>
    </xf>
    <xf numFmtId="4" fontId="0" fillId="0" borderId="0" xfId="0" applyNumberFormat="1" applyFont="1" applyFill="1" applyBorder="1" applyAlignment="1">
      <alignment vertical="center"/>
    </xf>
    <xf numFmtId="4" fontId="31" fillId="0" borderId="0" xfId="0" applyNumberFormat="1" applyFont="1" applyFill="1" applyBorder="1" applyAlignment="1">
      <alignment vertical="center"/>
    </xf>
    <xf numFmtId="4" fontId="44" fillId="0" borderId="0" xfId="0" applyNumberFormat="1" applyFont="1" applyFill="1" applyBorder="1" applyAlignment="1">
      <alignment vertical="center"/>
    </xf>
    <xf numFmtId="4" fontId="24" fillId="0" borderId="0" xfId="0" applyNumberFormat="1" applyFont="1" applyFill="1" applyBorder="1" applyAlignment="1">
      <alignment vertical="center"/>
    </xf>
    <xf numFmtId="4" fontId="32" fillId="0" borderId="0" xfId="0" applyNumberFormat="1" applyFont="1" applyFill="1" applyBorder="1" applyAlignment="1">
      <alignment vertical="center"/>
    </xf>
    <xf numFmtId="4" fontId="0" fillId="0" borderId="0" xfId="0" applyNumberFormat="1" applyFont="1" applyFill="1" applyBorder="1" applyAlignment="1">
      <alignment/>
    </xf>
    <xf numFmtId="4" fontId="44" fillId="0" borderId="0" xfId="0" applyNumberFormat="1" applyFont="1" applyFill="1" applyBorder="1" applyAlignment="1">
      <alignment/>
    </xf>
    <xf numFmtId="4" fontId="24" fillId="0" borderId="0" xfId="0" applyNumberFormat="1" applyFont="1" applyFill="1" applyBorder="1" applyAlignment="1">
      <alignment/>
    </xf>
    <xf numFmtId="4" fontId="32" fillId="0" borderId="0" xfId="0" applyNumberFormat="1" applyFont="1" applyFill="1" applyBorder="1" applyAlignment="1">
      <alignment/>
    </xf>
    <xf numFmtId="4" fontId="43" fillId="0" borderId="0" xfId="0" applyNumberFormat="1" applyFont="1" applyFill="1" applyBorder="1" applyAlignment="1">
      <alignment/>
    </xf>
    <xf numFmtId="4" fontId="43" fillId="0" borderId="0" xfId="0" applyNumberFormat="1" applyFont="1" applyFill="1" applyBorder="1" applyAlignment="1">
      <alignment/>
    </xf>
    <xf numFmtId="0" fontId="43" fillId="0" borderId="0" xfId="0" applyFont="1" applyFill="1" applyBorder="1" applyAlignment="1">
      <alignment/>
    </xf>
    <xf numFmtId="0" fontId="43" fillId="7" borderId="0" xfId="0" applyFont="1" applyFill="1" applyBorder="1" applyAlignment="1">
      <alignment/>
    </xf>
    <xf numFmtId="0" fontId="46" fillId="0" borderId="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vertical="center" wrapText="1"/>
    </xf>
    <xf numFmtId="9" fontId="46" fillId="0" borderId="0" xfId="0" applyNumberFormat="1" applyFont="1" applyFill="1" applyBorder="1" applyAlignment="1">
      <alignment horizontal="center" vertical="center"/>
    </xf>
    <xf numFmtId="10" fontId="46" fillId="0" borderId="0" xfId="0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horizontal="center" vertical="center"/>
    </xf>
    <xf numFmtId="9" fontId="45" fillId="0" borderId="0" xfId="0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3" fontId="30" fillId="0" borderId="0" xfId="0" applyNumberFormat="1" applyFont="1" applyFill="1" applyAlignment="1">
      <alignment horizontal="center" vertical="center" textRotation="180"/>
    </xf>
    <xf numFmtId="3" fontId="30" fillId="0" borderId="0" xfId="0" applyNumberFormat="1" applyFont="1" applyFill="1" applyBorder="1" applyAlignment="1">
      <alignment horizontal="center" vertical="center" textRotation="180"/>
    </xf>
    <xf numFmtId="3" fontId="49" fillId="0" borderId="0" xfId="0" applyNumberFormat="1" applyFont="1" applyFill="1" applyBorder="1" applyAlignment="1">
      <alignment horizontal="center" vertical="center" textRotation="180"/>
    </xf>
    <xf numFmtId="0" fontId="26" fillId="13" borderId="0" xfId="0" applyFont="1" applyFill="1" applyAlignment="1">
      <alignment vertical="center"/>
    </xf>
    <xf numFmtId="0" fontId="30" fillId="0" borderId="0" xfId="0" applyFont="1" applyFill="1" applyAlignment="1">
      <alignment vertical="center"/>
    </xf>
    <xf numFmtId="0" fontId="30" fillId="0" borderId="0" xfId="0" applyFont="1" applyFill="1" applyAlignment="1">
      <alignment horizontal="left" vertical="center" wrapText="1"/>
    </xf>
    <xf numFmtId="0" fontId="30" fillId="0" borderId="0" xfId="0" applyFont="1" applyFill="1" applyAlignment="1">
      <alignment vertical="center" wrapText="1"/>
    </xf>
    <xf numFmtId="49" fontId="50" fillId="0" borderId="0" xfId="0" applyNumberFormat="1" applyFont="1" applyFill="1" applyBorder="1" applyAlignment="1">
      <alignment horizontal="left" vertical="center" wrapText="1"/>
    </xf>
    <xf numFmtId="3" fontId="50" fillId="0" borderId="0" xfId="0" applyNumberFormat="1" applyFont="1" applyFill="1" applyBorder="1" applyAlignment="1">
      <alignment horizontal="center" vertical="center" wrapText="1"/>
    </xf>
    <xf numFmtId="4" fontId="31" fillId="0" borderId="0" xfId="95" applyNumberFormat="1" applyFont="1" applyFill="1" applyBorder="1" applyAlignment="1">
      <alignment vertical="center"/>
      <protection/>
    </xf>
    <xf numFmtId="0" fontId="51" fillId="0" borderId="0" xfId="0" applyFont="1" applyFill="1" applyBorder="1" applyAlignment="1">
      <alignment/>
    </xf>
    <xf numFmtId="4" fontId="50" fillId="0" borderId="0" xfId="0" applyNumberFormat="1" applyFont="1" applyFill="1" applyAlignment="1" applyProtection="1">
      <alignment/>
      <protection/>
    </xf>
    <xf numFmtId="4" fontId="51" fillId="0" borderId="0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/>
    </xf>
    <xf numFmtId="0" fontId="30" fillId="0" borderId="0" xfId="0" applyNumberFormat="1" applyFont="1" applyFill="1" applyAlignment="1" applyProtection="1">
      <alignment/>
      <protection/>
    </xf>
    <xf numFmtId="0" fontId="30" fillId="0" borderId="0" xfId="0" applyFont="1" applyFill="1" applyBorder="1" applyAlignment="1">
      <alignment/>
    </xf>
    <xf numFmtId="3" fontId="30" fillId="0" borderId="0" xfId="0" applyNumberFormat="1" applyFont="1" applyFill="1" applyBorder="1" applyAlignment="1">
      <alignment vertical="center" wrapText="1"/>
    </xf>
    <xf numFmtId="49" fontId="50" fillId="0" borderId="15" xfId="0" applyNumberFormat="1" applyFont="1" applyFill="1" applyBorder="1" applyAlignment="1">
      <alignment horizontal="center" vertical="center"/>
    </xf>
    <xf numFmtId="0" fontId="50" fillId="0" borderId="0" xfId="0" applyNumberFormat="1" applyFont="1" applyFill="1" applyBorder="1" applyAlignment="1" applyProtection="1">
      <alignment/>
      <protection/>
    </xf>
    <xf numFmtId="0" fontId="31" fillId="0" borderId="0" xfId="0" applyNumberFormat="1" applyFont="1" applyFill="1" applyBorder="1" applyAlignment="1" applyProtection="1">
      <alignment/>
      <protection/>
    </xf>
    <xf numFmtId="4" fontId="31" fillId="0" borderId="0" xfId="0" applyNumberFormat="1" applyFont="1" applyFill="1" applyBorder="1" applyAlignment="1">
      <alignment horizontal="center" vertical="center"/>
    </xf>
    <xf numFmtId="0" fontId="26" fillId="0" borderId="12" xfId="0" applyNumberFormat="1" applyFont="1" applyFill="1" applyBorder="1" applyAlignment="1" applyProtection="1">
      <alignment horizontal="center" vertical="center" wrapText="1"/>
      <protection/>
    </xf>
    <xf numFmtId="3" fontId="30" fillId="0" borderId="0" xfId="0" applyNumberFormat="1" applyFont="1" applyFill="1" applyBorder="1" applyAlignment="1">
      <alignment horizontal="center" vertical="center" textRotation="180"/>
    </xf>
    <xf numFmtId="49" fontId="30" fillId="0" borderId="0" xfId="0" applyNumberFormat="1" applyFont="1" applyFill="1" applyBorder="1" applyAlignment="1">
      <alignment horizontal="left" vertical="center" wrapText="1"/>
    </xf>
    <xf numFmtId="3" fontId="30" fillId="0" borderId="0" xfId="0" applyNumberFormat="1" applyFont="1" applyFill="1" applyBorder="1" applyAlignment="1">
      <alignment horizontal="center" vertical="center" wrapText="1"/>
    </xf>
    <xf numFmtId="0" fontId="30" fillId="0" borderId="0" xfId="0" applyFont="1" applyFill="1" applyAlignment="1">
      <alignment vertical="center"/>
    </xf>
    <xf numFmtId="0" fontId="30" fillId="0" borderId="0" xfId="0" applyFont="1" applyFill="1" applyAlignment="1">
      <alignment horizontal="left" vertical="center" wrapText="1"/>
    </xf>
    <xf numFmtId="49" fontId="50" fillId="0" borderId="0" xfId="0" applyNumberFormat="1" applyFont="1" applyFill="1" applyBorder="1" applyAlignment="1">
      <alignment horizontal="left" vertical="center" wrapText="1"/>
    </xf>
    <xf numFmtId="0" fontId="42" fillId="0" borderId="0" xfId="0" applyNumberFormat="1" applyFont="1" applyFill="1" applyBorder="1" applyAlignment="1" applyProtection="1">
      <alignment horizontal="center" vertical="top" wrapText="1"/>
      <protection/>
    </xf>
    <xf numFmtId="3" fontId="30" fillId="0" borderId="16" xfId="0" applyNumberFormat="1" applyFont="1" applyFill="1" applyBorder="1" applyAlignment="1">
      <alignment horizontal="center" vertical="center" textRotation="180"/>
    </xf>
    <xf numFmtId="3" fontId="50" fillId="0" borderId="0" xfId="0" applyNumberFormat="1" applyFont="1" applyFill="1" applyBorder="1" applyAlignment="1">
      <alignment horizontal="center" vertical="center" wrapText="1"/>
    </xf>
    <xf numFmtId="49" fontId="26" fillId="0" borderId="0" xfId="0" applyNumberFormat="1" applyFont="1" applyFill="1" applyBorder="1" applyAlignment="1">
      <alignment horizontal="left" vertical="center" wrapText="1"/>
    </xf>
    <xf numFmtId="49" fontId="26" fillId="0" borderId="12" xfId="0" applyNumberFormat="1" applyFont="1" applyFill="1" applyBorder="1" applyAlignment="1" applyProtection="1">
      <alignment horizontal="center" vertical="center" wrapText="1"/>
      <protection/>
    </xf>
    <xf numFmtId="0" fontId="24" fillId="0" borderId="12" xfId="0" applyNumberFormat="1" applyFont="1" applyFill="1" applyBorder="1" applyAlignment="1" applyProtection="1">
      <alignment horizontal="center" vertical="center" wrapText="1"/>
      <protection/>
    </xf>
    <xf numFmtId="3" fontId="30" fillId="0" borderId="0" xfId="0" applyNumberFormat="1" applyFont="1" applyFill="1" applyBorder="1" applyAlignment="1">
      <alignment horizontal="center" vertical="center" textRotation="180"/>
    </xf>
    <xf numFmtId="3" fontId="30" fillId="0" borderId="16" xfId="0" applyNumberFormat="1" applyFont="1" applyFill="1" applyBorder="1" applyAlignment="1">
      <alignment horizontal="center" vertical="center" textRotation="180"/>
    </xf>
    <xf numFmtId="0" fontId="45" fillId="13" borderId="0" xfId="0" applyFont="1" applyFill="1" applyBorder="1" applyAlignment="1">
      <alignment horizontal="center" vertical="center" wrapText="1"/>
    </xf>
    <xf numFmtId="0" fontId="45" fillId="13" borderId="0" xfId="0" applyFont="1" applyFill="1" applyBorder="1" applyAlignment="1">
      <alignment horizontal="center" vertical="center"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46"/>
  <sheetViews>
    <sheetView showGridLines="0" showZeros="0" view="pageBreakPreview" zoomScale="55" zoomScaleNormal="70" zoomScaleSheetLayoutView="55" zoomScalePageLayoutView="0" workbookViewId="0" topLeftCell="A1">
      <selection activeCell="L5" sqref="L5:P5"/>
    </sheetView>
  </sheetViews>
  <sheetFormatPr defaultColWidth="9.16015625" defaultRowHeight="12.75"/>
  <cols>
    <col min="1" max="1" width="19.33203125" style="76" customWidth="1"/>
    <col min="2" max="2" width="17" style="81" customWidth="1"/>
    <col min="3" max="3" width="16.16015625" style="77" customWidth="1"/>
    <col min="4" max="4" width="57.33203125" style="118" customWidth="1"/>
    <col min="5" max="5" width="24.16015625" style="73" customWidth="1"/>
    <col min="6" max="6" width="21.83203125" style="73" customWidth="1"/>
    <col min="7" max="7" width="19.33203125" style="73" customWidth="1"/>
    <col min="8" max="8" width="19.16015625" style="73" customWidth="1"/>
    <col min="9" max="9" width="18" style="73" customWidth="1"/>
    <col min="10" max="10" width="20.83203125" style="73" customWidth="1"/>
    <col min="11" max="11" width="17.16015625" style="73" customWidth="1"/>
    <col min="12" max="12" width="16.66015625" style="73" customWidth="1"/>
    <col min="13" max="13" width="16.5" style="73" customWidth="1"/>
    <col min="14" max="14" width="19.16015625" style="73" customWidth="1"/>
    <col min="15" max="15" width="20.16015625" style="73" customWidth="1"/>
    <col min="16" max="16" width="22.16015625" style="157" customWidth="1"/>
    <col min="17" max="17" width="9.16015625" style="230" customWidth="1"/>
    <col min="18" max="18" width="15.83203125" style="173" customWidth="1"/>
    <col min="19" max="19" width="18.16015625" style="173" customWidth="1"/>
    <col min="20" max="20" width="18.83203125" style="173" customWidth="1"/>
    <col min="21" max="25" width="9.16015625" style="19" customWidth="1"/>
    <col min="26" max="16384" width="9.16015625" style="19" customWidth="1"/>
  </cols>
  <sheetData>
    <row r="1" spans="1:17" ht="26.25" customHeight="1">
      <c r="A1" s="65"/>
      <c r="B1" s="66"/>
      <c r="C1" s="66"/>
      <c r="D1" s="158"/>
      <c r="E1" s="159"/>
      <c r="F1" s="67"/>
      <c r="G1" s="67"/>
      <c r="H1" s="67"/>
      <c r="I1" s="67"/>
      <c r="J1" s="67"/>
      <c r="K1" s="159"/>
      <c r="L1" s="254" t="s">
        <v>589</v>
      </c>
      <c r="M1" s="254"/>
      <c r="N1" s="254"/>
      <c r="O1" s="254"/>
      <c r="P1" s="233"/>
      <c r="Q1" s="229"/>
    </row>
    <row r="2" spans="1:17" ht="26.25" customHeight="1">
      <c r="A2" s="65"/>
      <c r="B2" s="66"/>
      <c r="C2" s="66"/>
      <c r="D2" s="158"/>
      <c r="E2" s="159"/>
      <c r="F2" s="67"/>
      <c r="G2" s="67"/>
      <c r="H2" s="67"/>
      <c r="I2" s="67"/>
      <c r="J2" s="67"/>
      <c r="K2" s="159"/>
      <c r="L2" s="233" t="s">
        <v>596</v>
      </c>
      <c r="M2" s="233"/>
      <c r="N2" s="233"/>
      <c r="O2" s="233"/>
      <c r="P2" s="233"/>
      <c r="Q2" s="229"/>
    </row>
    <row r="3" spans="1:20" s="2" customFormat="1" ht="29.25" customHeight="1">
      <c r="A3" s="65"/>
      <c r="B3" s="66"/>
      <c r="C3" s="66"/>
      <c r="D3" s="160"/>
      <c r="E3" s="68"/>
      <c r="F3" s="68"/>
      <c r="G3" s="68"/>
      <c r="H3" s="67"/>
      <c r="I3" s="67"/>
      <c r="J3" s="67"/>
      <c r="K3" s="67"/>
      <c r="L3" s="233" t="s">
        <v>597</v>
      </c>
      <c r="M3" s="233"/>
      <c r="N3" s="233"/>
      <c r="O3" s="233"/>
      <c r="P3" s="233"/>
      <c r="Q3" s="235"/>
      <c r="R3" s="178"/>
      <c r="S3" s="178"/>
      <c r="T3" s="178"/>
    </row>
    <row r="4" spans="1:20" s="2" customFormat="1" ht="29.25" customHeight="1">
      <c r="A4" s="65"/>
      <c r="B4" s="66"/>
      <c r="C4" s="66"/>
      <c r="D4" s="160"/>
      <c r="E4" s="68"/>
      <c r="F4" s="68"/>
      <c r="G4" s="68"/>
      <c r="H4" s="67"/>
      <c r="I4" s="67"/>
      <c r="J4" s="67"/>
      <c r="K4" s="67"/>
      <c r="L4" s="255" t="s">
        <v>598</v>
      </c>
      <c r="M4" s="255"/>
      <c r="N4" s="255"/>
      <c r="O4" s="255"/>
      <c r="P4" s="255"/>
      <c r="Q4" s="235"/>
      <c r="R4" s="178"/>
      <c r="S4" s="178"/>
      <c r="T4" s="178"/>
    </row>
    <row r="5" spans="1:20" s="2" customFormat="1" ht="29.25" customHeight="1">
      <c r="A5" s="65"/>
      <c r="B5" s="66"/>
      <c r="C5" s="66"/>
      <c r="D5" s="160"/>
      <c r="E5" s="68"/>
      <c r="F5" s="68"/>
      <c r="G5" s="68"/>
      <c r="H5" s="67"/>
      <c r="I5" s="67"/>
      <c r="J5" s="67"/>
      <c r="K5" s="67"/>
      <c r="L5" s="255" t="s">
        <v>600</v>
      </c>
      <c r="M5" s="255"/>
      <c r="N5" s="255"/>
      <c r="O5" s="255"/>
      <c r="P5" s="255"/>
      <c r="Q5" s="235"/>
      <c r="R5" s="178"/>
      <c r="S5" s="178"/>
      <c r="T5" s="178"/>
    </row>
    <row r="6" spans="1:20" s="2" customFormat="1" ht="29.25" customHeight="1">
      <c r="A6" s="65"/>
      <c r="B6" s="66"/>
      <c r="C6" s="66"/>
      <c r="D6" s="160"/>
      <c r="E6" s="68"/>
      <c r="F6" s="68"/>
      <c r="G6" s="68"/>
      <c r="H6" s="67"/>
      <c r="I6" s="67"/>
      <c r="J6" s="67"/>
      <c r="K6" s="67"/>
      <c r="L6" s="67"/>
      <c r="M6" s="172"/>
      <c r="N6" s="172"/>
      <c r="O6" s="172"/>
      <c r="P6" s="172"/>
      <c r="Q6" s="230"/>
      <c r="R6" s="178"/>
      <c r="S6" s="178"/>
      <c r="T6" s="178"/>
    </row>
    <row r="7" spans="1:20" ht="66" customHeight="1">
      <c r="A7" s="65"/>
      <c r="B7" s="66"/>
      <c r="C7" s="66"/>
      <c r="D7" s="257" t="s">
        <v>372</v>
      </c>
      <c r="E7" s="257"/>
      <c r="F7" s="257"/>
      <c r="G7" s="257"/>
      <c r="H7" s="257"/>
      <c r="I7" s="257"/>
      <c r="J7" s="257"/>
      <c r="K7" s="257"/>
      <c r="L7" s="257"/>
      <c r="M7" s="257"/>
      <c r="N7" s="257"/>
      <c r="O7" s="257"/>
      <c r="P7" s="67"/>
      <c r="Q7" s="251">
        <v>15</v>
      </c>
      <c r="R7" s="179"/>
      <c r="S7" s="179"/>
      <c r="T7" s="179"/>
    </row>
    <row r="8" spans="1:20" ht="21" customHeight="1">
      <c r="A8" s="65"/>
      <c r="B8" s="66"/>
      <c r="C8" s="66"/>
      <c r="D8" s="114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59" t="s">
        <v>373</v>
      </c>
      <c r="Q8" s="251"/>
      <c r="R8" s="227"/>
      <c r="S8" s="227"/>
      <c r="T8" s="227"/>
    </row>
    <row r="9" spans="1:20" s="3" customFormat="1" ht="21.75" customHeight="1">
      <c r="A9" s="261" t="s">
        <v>163</v>
      </c>
      <c r="B9" s="250" t="s">
        <v>165</v>
      </c>
      <c r="C9" s="250" t="s">
        <v>80</v>
      </c>
      <c r="D9" s="250" t="s">
        <v>178</v>
      </c>
      <c r="E9" s="250" t="s">
        <v>362</v>
      </c>
      <c r="F9" s="250"/>
      <c r="G9" s="250"/>
      <c r="H9" s="250"/>
      <c r="I9" s="250"/>
      <c r="J9" s="250" t="s">
        <v>363</v>
      </c>
      <c r="K9" s="250"/>
      <c r="L9" s="250"/>
      <c r="M9" s="250"/>
      <c r="N9" s="250"/>
      <c r="O9" s="250"/>
      <c r="P9" s="250" t="s">
        <v>364</v>
      </c>
      <c r="Q9" s="251"/>
      <c r="R9" s="228"/>
      <c r="S9" s="228"/>
      <c r="T9" s="228"/>
    </row>
    <row r="10" spans="1:20" s="3" customFormat="1" ht="33" customHeight="1">
      <c r="A10" s="261"/>
      <c r="B10" s="250"/>
      <c r="C10" s="250"/>
      <c r="D10" s="250"/>
      <c r="E10" s="250" t="s">
        <v>365</v>
      </c>
      <c r="F10" s="250" t="s">
        <v>366</v>
      </c>
      <c r="G10" s="250" t="s">
        <v>367</v>
      </c>
      <c r="H10" s="250"/>
      <c r="I10" s="250" t="s">
        <v>368</v>
      </c>
      <c r="J10" s="250" t="s">
        <v>365</v>
      </c>
      <c r="K10" s="250" t="s">
        <v>366</v>
      </c>
      <c r="L10" s="250" t="s">
        <v>367</v>
      </c>
      <c r="M10" s="250"/>
      <c r="N10" s="250" t="s">
        <v>368</v>
      </c>
      <c r="O10" s="39" t="s">
        <v>367</v>
      </c>
      <c r="P10" s="250"/>
      <c r="Q10" s="251"/>
      <c r="R10" s="180"/>
      <c r="S10" s="180"/>
      <c r="T10" s="180"/>
    </row>
    <row r="11" spans="1:20" s="3" customFormat="1" ht="30.75" customHeight="1">
      <c r="A11" s="261"/>
      <c r="B11" s="250"/>
      <c r="C11" s="250"/>
      <c r="D11" s="250"/>
      <c r="E11" s="250"/>
      <c r="F11" s="250"/>
      <c r="G11" s="250" t="s">
        <v>369</v>
      </c>
      <c r="H11" s="250" t="s">
        <v>370</v>
      </c>
      <c r="I11" s="250"/>
      <c r="J11" s="250"/>
      <c r="K11" s="250"/>
      <c r="L11" s="250" t="s">
        <v>369</v>
      </c>
      <c r="M11" s="250" t="s">
        <v>370</v>
      </c>
      <c r="N11" s="250"/>
      <c r="O11" s="250" t="s">
        <v>371</v>
      </c>
      <c r="P11" s="250"/>
      <c r="Q11" s="251"/>
      <c r="R11" s="182"/>
      <c r="S11" s="182"/>
      <c r="T11" s="181"/>
    </row>
    <row r="12" spans="1:20" s="3" customFormat="1" ht="50.25" customHeight="1">
      <c r="A12" s="261"/>
      <c r="B12" s="250"/>
      <c r="C12" s="250"/>
      <c r="D12" s="250"/>
      <c r="E12" s="250"/>
      <c r="F12" s="250"/>
      <c r="G12" s="250"/>
      <c r="H12" s="250"/>
      <c r="I12" s="250"/>
      <c r="J12" s="250"/>
      <c r="K12" s="250"/>
      <c r="L12" s="250"/>
      <c r="M12" s="250"/>
      <c r="N12" s="250"/>
      <c r="O12" s="250"/>
      <c r="P12" s="250"/>
      <c r="Q12" s="251"/>
      <c r="R12" s="180"/>
      <c r="S12" s="180"/>
      <c r="T12" s="183"/>
    </row>
    <row r="13" spans="1:20" s="129" customFormat="1" ht="19.5" customHeight="1">
      <c r="A13" s="127" t="s">
        <v>237</v>
      </c>
      <c r="B13" s="127"/>
      <c r="C13" s="127"/>
      <c r="D13" s="128" t="s">
        <v>67</v>
      </c>
      <c r="E13" s="47">
        <f>E14</f>
        <v>141055615</v>
      </c>
      <c r="F13" s="47">
        <f aca="true" t="shared" si="0" ref="F13:P13">F14</f>
        <v>119510979</v>
      </c>
      <c r="G13" s="47">
        <f t="shared" si="0"/>
        <v>64749499</v>
      </c>
      <c r="H13" s="47">
        <f t="shared" si="0"/>
        <v>3718476</v>
      </c>
      <c r="I13" s="47">
        <f t="shared" si="0"/>
        <v>21544636</v>
      </c>
      <c r="J13" s="47">
        <f t="shared" si="0"/>
        <v>38537194</v>
      </c>
      <c r="K13" s="47">
        <f t="shared" si="0"/>
        <v>418694</v>
      </c>
      <c r="L13" s="47">
        <f t="shared" si="0"/>
        <v>141022</v>
      </c>
      <c r="M13" s="47">
        <f t="shared" si="0"/>
        <v>54604</v>
      </c>
      <c r="N13" s="47">
        <f t="shared" si="0"/>
        <v>38118500</v>
      </c>
      <c r="O13" s="47">
        <f t="shared" si="0"/>
        <v>38118500</v>
      </c>
      <c r="P13" s="47">
        <f t="shared" si="0"/>
        <v>179592809</v>
      </c>
      <c r="Q13" s="251"/>
      <c r="R13" s="185"/>
      <c r="S13" s="185"/>
      <c r="T13" s="185"/>
    </row>
    <row r="14" spans="1:20" s="132" customFormat="1" ht="19.5" customHeight="1">
      <c r="A14" s="130" t="s">
        <v>238</v>
      </c>
      <c r="B14" s="130"/>
      <c r="C14" s="130"/>
      <c r="D14" s="131" t="s">
        <v>67</v>
      </c>
      <c r="E14" s="87">
        <f>E15+E16+E17+E20+E22+E24+E25+E29+E32+E35+E38+E41+E43+E47+E48+E49+E50+E51+E52+E55+E56+E57+E58+E59+E46+E28</f>
        <v>141055615</v>
      </c>
      <c r="F14" s="87">
        <f aca="true" t="shared" si="1" ref="F14:P14">F15+F16+F17+F20+F22+F24+F25+F29+F32+F35+F38+F41+F43+F47+F48+F49+F50+F51+F52+F55+F56+F57+F58+F59+F46+F28</f>
        <v>119510979</v>
      </c>
      <c r="G14" s="87">
        <f t="shared" si="1"/>
        <v>64749499</v>
      </c>
      <c r="H14" s="87">
        <f t="shared" si="1"/>
        <v>3718476</v>
      </c>
      <c r="I14" s="87">
        <f t="shared" si="1"/>
        <v>21544636</v>
      </c>
      <c r="J14" s="87">
        <f t="shared" si="1"/>
        <v>38537194</v>
      </c>
      <c r="K14" s="87">
        <f t="shared" si="1"/>
        <v>418694</v>
      </c>
      <c r="L14" s="87">
        <f t="shared" si="1"/>
        <v>141022</v>
      </c>
      <c r="M14" s="87">
        <f t="shared" si="1"/>
        <v>54604</v>
      </c>
      <c r="N14" s="87">
        <f t="shared" si="1"/>
        <v>38118500</v>
      </c>
      <c r="O14" s="87">
        <f t="shared" si="1"/>
        <v>38118500</v>
      </c>
      <c r="P14" s="87">
        <f t="shared" si="1"/>
        <v>179592809</v>
      </c>
      <c r="Q14" s="251"/>
      <c r="R14" s="186"/>
      <c r="S14" s="186"/>
      <c r="T14" s="186"/>
    </row>
    <row r="15" spans="1:20" s="4" customFormat="1" ht="46.5" customHeight="1">
      <c r="A15" s="88" t="s">
        <v>239</v>
      </c>
      <c r="B15" s="88" t="str">
        <f>'дод. 4'!A14</f>
        <v>0160</v>
      </c>
      <c r="C15" s="88" t="str">
        <f>'дод. 4'!B14</f>
        <v>0111</v>
      </c>
      <c r="D15" s="89" t="str">
        <f>'дод. 4'!C14</f>
        <v>Керівництво і управління у відповідній сфері у містах (місті Києві), селищах, селах, об’єднаних територіальних громадах</v>
      </c>
      <c r="E15" s="90">
        <f>F15+I15</f>
        <v>72031300</v>
      </c>
      <c r="F15" s="90">
        <f>72007500+190000-526200+150000+210000</f>
        <v>72031300</v>
      </c>
      <c r="G15" s="90">
        <v>52010600</v>
      </c>
      <c r="H15" s="90">
        <v>2150738</v>
      </c>
      <c r="I15" s="90"/>
      <c r="J15" s="90">
        <f>K15+N15</f>
        <v>2705000</v>
      </c>
      <c r="K15" s="90"/>
      <c r="L15" s="90"/>
      <c r="M15" s="90"/>
      <c r="N15" s="90">
        <f>4000000-1295000</f>
        <v>2705000</v>
      </c>
      <c r="O15" s="90">
        <f>4000000-1295000</f>
        <v>2705000</v>
      </c>
      <c r="P15" s="90">
        <f>E15+J15</f>
        <v>74736300</v>
      </c>
      <c r="Q15" s="251"/>
      <c r="R15" s="187"/>
      <c r="S15" s="187"/>
      <c r="T15" s="187"/>
    </row>
    <row r="16" spans="1:20" s="4" customFormat="1" ht="27" customHeight="1">
      <c r="A16" s="88" t="s">
        <v>385</v>
      </c>
      <c r="B16" s="88" t="str">
        <f>'дод. 4'!A15</f>
        <v>0180</v>
      </c>
      <c r="C16" s="88" t="str">
        <f>'дод. 4'!B15</f>
        <v>0133</v>
      </c>
      <c r="D16" s="122" t="str">
        <f>'дод. 4'!C15</f>
        <v>Інша діяльність у сфері державного управління</v>
      </c>
      <c r="E16" s="90">
        <f>F16+I16</f>
        <v>100000</v>
      </c>
      <c r="F16" s="90">
        <v>100000</v>
      </c>
      <c r="G16" s="90"/>
      <c r="H16" s="90"/>
      <c r="I16" s="90"/>
      <c r="J16" s="90">
        <f>K16+N16</f>
        <v>0</v>
      </c>
      <c r="K16" s="90"/>
      <c r="L16" s="90"/>
      <c r="M16" s="90"/>
      <c r="N16" s="90"/>
      <c r="O16" s="90"/>
      <c r="P16" s="90">
        <f>E16+J16</f>
        <v>100000</v>
      </c>
      <c r="Q16" s="251"/>
      <c r="R16" s="187"/>
      <c r="S16" s="187"/>
      <c r="T16" s="187"/>
    </row>
    <row r="17" spans="1:20" s="4" customFormat="1" ht="68.25" customHeight="1">
      <c r="A17" s="88" t="s">
        <v>240</v>
      </c>
      <c r="B17" s="88" t="str">
        <f>'дод. 4'!A75</f>
        <v>3030</v>
      </c>
      <c r="C17" s="88">
        <f>'дод. 4'!B75</f>
        <v>0</v>
      </c>
      <c r="D17" s="122" t="str">
        <f>'дод. 4'!C75</f>
        <v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v>
      </c>
      <c r="E17" s="90">
        <f>E18+E19</f>
        <v>90000</v>
      </c>
      <c r="F17" s="90">
        <f aca="true" t="shared" si="2" ref="F17:P17">F18+F19</f>
        <v>90000</v>
      </c>
      <c r="G17" s="90">
        <f t="shared" si="2"/>
        <v>0</v>
      </c>
      <c r="H17" s="90">
        <f t="shared" si="2"/>
        <v>0</v>
      </c>
      <c r="I17" s="90">
        <f t="shared" si="2"/>
        <v>0</v>
      </c>
      <c r="J17" s="90">
        <f t="shared" si="2"/>
        <v>0</v>
      </c>
      <c r="K17" s="90">
        <f t="shared" si="2"/>
        <v>0</v>
      </c>
      <c r="L17" s="90">
        <f t="shared" si="2"/>
        <v>0</v>
      </c>
      <c r="M17" s="90">
        <f t="shared" si="2"/>
        <v>0</v>
      </c>
      <c r="N17" s="90">
        <f t="shared" si="2"/>
        <v>0</v>
      </c>
      <c r="O17" s="90">
        <f t="shared" si="2"/>
        <v>0</v>
      </c>
      <c r="P17" s="90">
        <f t="shared" si="2"/>
        <v>90000</v>
      </c>
      <c r="Q17" s="251"/>
      <c r="R17" s="188"/>
      <c r="S17" s="188"/>
      <c r="T17" s="188"/>
    </row>
    <row r="18" spans="1:20" s="134" customFormat="1" ht="51.75" customHeight="1">
      <c r="A18" s="91" t="s">
        <v>401</v>
      </c>
      <c r="B18" s="91" t="str">
        <f>'дод. 4'!A78</f>
        <v>3033</v>
      </c>
      <c r="C18" s="91" t="str">
        <f>'дод. 4'!B78</f>
        <v>1070</v>
      </c>
      <c r="D18" s="119" t="str">
        <f>'дод. 4'!C78</f>
        <v>Компенсаційні виплати на пільговий проїзд автомобільним транспортом окремим категоріям громадян</v>
      </c>
      <c r="E18" s="93">
        <f>F18+I18</f>
        <v>25000</v>
      </c>
      <c r="F18" s="93">
        <v>25000</v>
      </c>
      <c r="G18" s="93"/>
      <c r="H18" s="93"/>
      <c r="I18" s="93"/>
      <c r="J18" s="93">
        <f>K18+N18</f>
        <v>0</v>
      </c>
      <c r="K18" s="93"/>
      <c r="L18" s="93"/>
      <c r="M18" s="93"/>
      <c r="N18" s="93"/>
      <c r="O18" s="93"/>
      <c r="P18" s="93">
        <f>E18+J18</f>
        <v>25000</v>
      </c>
      <c r="Q18" s="251"/>
      <c r="R18" s="189"/>
      <c r="S18" s="189"/>
      <c r="T18" s="189"/>
    </row>
    <row r="19" spans="1:20" s="134" customFormat="1" ht="48.75" customHeight="1">
      <c r="A19" s="91" t="s">
        <v>241</v>
      </c>
      <c r="B19" s="91" t="str">
        <f>'дод. 4'!A79</f>
        <v>3036</v>
      </c>
      <c r="C19" s="91" t="str">
        <f>'дод. 4'!B79</f>
        <v>1070</v>
      </c>
      <c r="D19" s="119" t="str">
        <f>'дод. 4'!C79</f>
        <v>Компенсаційні виплати на пільговий проїзд електротранспортом окремим категоріям громадян</v>
      </c>
      <c r="E19" s="93">
        <f>F19+I19</f>
        <v>65000</v>
      </c>
      <c r="F19" s="93">
        <v>65000</v>
      </c>
      <c r="G19" s="93"/>
      <c r="H19" s="93"/>
      <c r="I19" s="93"/>
      <c r="J19" s="93">
        <f aca="true" t="shared" si="3" ref="J19:J59">K19+N19</f>
        <v>0</v>
      </c>
      <c r="K19" s="93"/>
      <c r="L19" s="93"/>
      <c r="M19" s="93"/>
      <c r="N19" s="93"/>
      <c r="O19" s="93"/>
      <c r="P19" s="93">
        <f>E19+J19</f>
        <v>65000</v>
      </c>
      <c r="Q19" s="251"/>
      <c r="R19" s="189"/>
      <c r="S19" s="189"/>
      <c r="T19" s="189"/>
    </row>
    <row r="20" spans="1:20" s="4" customFormat="1" ht="32.25" customHeight="1">
      <c r="A20" s="94" t="s">
        <v>242</v>
      </c>
      <c r="B20" s="94" t="str">
        <f>'дод. 4'!A114</f>
        <v>3120</v>
      </c>
      <c r="C20" s="94">
        <f>'дод. 4'!B114</f>
        <v>0</v>
      </c>
      <c r="D20" s="120" t="str">
        <f>'дод. 4'!C114</f>
        <v>Здійснення соціальної роботи з вразливими категоріями населення</v>
      </c>
      <c r="E20" s="96">
        <f>E21</f>
        <v>1661740</v>
      </c>
      <c r="F20" s="96">
        <f aca="true" t="shared" si="4" ref="F20:P20">F21</f>
        <v>1661740</v>
      </c>
      <c r="G20" s="96">
        <f t="shared" si="4"/>
        <v>1247850</v>
      </c>
      <c r="H20" s="96">
        <f t="shared" si="4"/>
        <v>56450</v>
      </c>
      <c r="I20" s="96">
        <f t="shared" si="4"/>
        <v>0</v>
      </c>
      <c r="J20" s="96">
        <f t="shared" si="4"/>
        <v>20500</v>
      </c>
      <c r="K20" s="96">
        <f t="shared" si="4"/>
        <v>0</v>
      </c>
      <c r="L20" s="96">
        <f t="shared" si="4"/>
        <v>0</v>
      </c>
      <c r="M20" s="96">
        <f t="shared" si="4"/>
        <v>0</v>
      </c>
      <c r="N20" s="96">
        <f t="shared" si="4"/>
        <v>20500</v>
      </c>
      <c r="O20" s="96">
        <f t="shared" si="4"/>
        <v>20500</v>
      </c>
      <c r="P20" s="96">
        <f t="shared" si="4"/>
        <v>1682240</v>
      </c>
      <c r="Q20" s="251"/>
      <c r="R20" s="188"/>
      <c r="S20" s="188"/>
      <c r="T20" s="188"/>
    </row>
    <row r="21" spans="1:20" s="134" customFormat="1" ht="48.75" customHeight="1">
      <c r="A21" s="91" t="s">
        <v>243</v>
      </c>
      <c r="B21" s="91" t="str">
        <f>'дод. 4'!A115</f>
        <v>3121</v>
      </c>
      <c r="C21" s="91" t="str">
        <f>'дод. 4'!B115</f>
        <v>1040</v>
      </c>
      <c r="D21" s="119" t="str">
        <f>'дод. 4'!C115</f>
        <v>Утримання та забезпечення діяльності центрів соціальних служб для сім’ї, дітей та молоді</v>
      </c>
      <c r="E21" s="93">
        <f>F21+I21</f>
        <v>1661740</v>
      </c>
      <c r="F21" s="93">
        <v>1661740</v>
      </c>
      <c r="G21" s="93">
        <v>1247850</v>
      </c>
      <c r="H21" s="93">
        <v>56450</v>
      </c>
      <c r="I21" s="93"/>
      <c r="J21" s="93">
        <f t="shared" si="3"/>
        <v>20500</v>
      </c>
      <c r="K21" s="93"/>
      <c r="L21" s="93"/>
      <c r="M21" s="93"/>
      <c r="N21" s="93">
        <v>20500</v>
      </c>
      <c r="O21" s="93">
        <v>20500</v>
      </c>
      <c r="P21" s="93">
        <f>E21+J21</f>
        <v>1682240</v>
      </c>
      <c r="Q21" s="251"/>
      <c r="R21" s="189"/>
      <c r="S21" s="189"/>
      <c r="T21" s="189"/>
    </row>
    <row r="22" spans="1:20" s="134" customFormat="1" ht="36" customHeight="1">
      <c r="A22" s="94" t="s">
        <v>244</v>
      </c>
      <c r="B22" s="94" t="str">
        <f>'дод. 4'!A116</f>
        <v>3130</v>
      </c>
      <c r="C22" s="94">
        <f>'дод. 4'!B116</f>
        <v>0</v>
      </c>
      <c r="D22" s="120" t="str">
        <f>'дод. 4'!C116</f>
        <v>Реалізація державної політики у молодіжній сфері</v>
      </c>
      <c r="E22" s="96">
        <f>E23</f>
        <v>750000</v>
      </c>
      <c r="F22" s="96">
        <f aca="true" t="shared" si="5" ref="F22:P22">F23</f>
        <v>750000</v>
      </c>
      <c r="G22" s="96">
        <f t="shared" si="5"/>
        <v>0</v>
      </c>
      <c r="H22" s="96">
        <f t="shared" si="5"/>
        <v>0</v>
      </c>
      <c r="I22" s="96">
        <f t="shared" si="5"/>
        <v>0</v>
      </c>
      <c r="J22" s="96">
        <f t="shared" si="5"/>
        <v>0</v>
      </c>
      <c r="K22" s="96">
        <f t="shared" si="5"/>
        <v>0</v>
      </c>
      <c r="L22" s="96">
        <f t="shared" si="5"/>
        <v>0</v>
      </c>
      <c r="M22" s="96">
        <f t="shared" si="5"/>
        <v>0</v>
      </c>
      <c r="N22" s="96">
        <f t="shared" si="5"/>
        <v>0</v>
      </c>
      <c r="O22" s="96">
        <f t="shared" si="5"/>
        <v>0</v>
      </c>
      <c r="P22" s="96">
        <f t="shared" si="5"/>
        <v>750000</v>
      </c>
      <c r="Q22" s="251"/>
      <c r="R22" s="188"/>
      <c r="S22" s="188"/>
      <c r="T22" s="188"/>
    </row>
    <row r="23" spans="1:20" s="134" customFormat="1" ht="45">
      <c r="A23" s="91" t="s">
        <v>245</v>
      </c>
      <c r="B23" s="91" t="str">
        <f>'дод. 4'!A117</f>
        <v>3131</v>
      </c>
      <c r="C23" s="91" t="str">
        <f>'дод. 4'!B117</f>
        <v>1040</v>
      </c>
      <c r="D23" s="119" t="str">
        <f>'дод. 4'!C117</f>
        <v>Здійснення заходів та реалізація проектів на виконання Державної цільової соціальної програми «Молодь України»</v>
      </c>
      <c r="E23" s="93">
        <f>F23+I23</f>
        <v>750000</v>
      </c>
      <c r="F23" s="93">
        <v>750000</v>
      </c>
      <c r="G23" s="93"/>
      <c r="H23" s="93"/>
      <c r="I23" s="93"/>
      <c r="J23" s="93">
        <f t="shared" si="3"/>
        <v>0</v>
      </c>
      <c r="K23" s="93"/>
      <c r="L23" s="93"/>
      <c r="M23" s="93"/>
      <c r="N23" s="93"/>
      <c r="O23" s="93"/>
      <c r="P23" s="93">
        <f>E23+J23</f>
        <v>750000</v>
      </c>
      <c r="Q23" s="251"/>
      <c r="R23" s="189"/>
      <c r="S23" s="189"/>
      <c r="T23" s="189"/>
    </row>
    <row r="24" spans="1:20" s="134" customFormat="1" ht="60" customHeight="1">
      <c r="A24" s="94" t="s">
        <v>246</v>
      </c>
      <c r="B24" s="94" t="str">
        <f>'дод. 4'!A118</f>
        <v>3140</v>
      </c>
      <c r="C24" s="94" t="str">
        <f>'дод. 4'!B118</f>
        <v>1040</v>
      </c>
      <c r="D24" s="120" t="str">
        <f>'дод. 4'!C118</f>
        <v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v>
      </c>
      <c r="E24" s="96">
        <f>F24+I24</f>
        <v>430000</v>
      </c>
      <c r="F24" s="96">
        <f>430000</f>
        <v>430000</v>
      </c>
      <c r="G24" s="96"/>
      <c r="H24" s="96"/>
      <c r="I24" s="96"/>
      <c r="J24" s="96">
        <f t="shared" si="3"/>
        <v>0</v>
      </c>
      <c r="K24" s="96"/>
      <c r="L24" s="96"/>
      <c r="M24" s="96"/>
      <c r="N24" s="96"/>
      <c r="O24" s="96"/>
      <c r="P24" s="96">
        <f>E24+J24</f>
        <v>430000</v>
      </c>
      <c r="Q24" s="251"/>
      <c r="R24" s="187"/>
      <c r="S24" s="187"/>
      <c r="T24" s="187"/>
    </row>
    <row r="25" spans="1:20" s="134" customFormat="1" ht="21.75" customHeight="1">
      <c r="A25" s="94" t="s">
        <v>479</v>
      </c>
      <c r="B25" s="94" t="str">
        <f>'дод. 4'!A131</f>
        <v>3240</v>
      </c>
      <c r="C25" s="94">
        <f>'дод. 4'!B131</f>
        <v>0</v>
      </c>
      <c r="D25" s="120" t="str">
        <f>'дод. 4'!C131</f>
        <v>Інші заклади та заходи</v>
      </c>
      <c r="E25" s="96">
        <f>E26+E27</f>
        <v>1000272</v>
      </c>
      <c r="F25" s="96">
        <f aca="true" t="shared" si="6" ref="F25:P25">F26+F27</f>
        <v>1000272</v>
      </c>
      <c r="G25" s="96">
        <f t="shared" si="6"/>
        <v>555810</v>
      </c>
      <c r="H25" s="96">
        <f t="shared" si="6"/>
        <v>97477</v>
      </c>
      <c r="I25" s="96">
        <f t="shared" si="6"/>
        <v>0</v>
      </c>
      <c r="J25" s="96">
        <f t="shared" si="6"/>
        <v>0</v>
      </c>
      <c r="K25" s="96">
        <f t="shared" si="6"/>
        <v>0</v>
      </c>
      <c r="L25" s="96">
        <f t="shared" si="6"/>
        <v>0</v>
      </c>
      <c r="M25" s="96">
        <f t="shared" si="6"/>
        <v>0</v>
      </c>
      <c r="N25" s="96">
        <f t="shared" si="6"/>
        <v>0</v>
      </c>
      <c r="O25" s="96">
        <f t="shared" si="6"/>
        <v>0</v>
      </c>
      <c r="P25" s="96">
        <f t="shared" si="6"/>
        <v>1000272</v>
      </c>
      <c r="Q25" s="251"/>
      <c r="R25" s="188"/>
      <c r="S25" s="188"/>
      <c r="T25" s="188"/>
    </row>
    <row r="26" spans="1:20" s="33" customFormat="1" ht="31.5" customHeight="1">
      <c r="A26" s="91" t="s">
        <v>477</v>
      </c>
      <c r="B26" s="91" t="str">
        <f>'дод. 4'!A132</f>
        <v>3241</v>
      </c>
      <c r="C26" s="91" t="str">
        <f>'дод. 4'!B132</f>
        <v>1090</v>
      </c>
      <c r="D26" s="119" t="str">
        <f>'дод. 4'!C132</f>
        <v>Забезпечення діяльності інших закладів у сфері соціального захисту і соціального забезпечення</v>
      </c>
      <c r="E26" s="93">
        <f>F26+I26</f>
        <v>818206</v>
      </c>
      <c r="F26" s="93">
        <v>818206</v>
      </c>
      <c r="G26" s="93">
        <v>555810</v>
      </c>
      <c r="H26" s="93">
        <v>97477</v>
      </c>
      <c r="I26" s="93"/>
      <c r="J26" s="93"/>
      <c r="K26" s="93"/>
      <c r="L26" s="93"/>
      <c r="M26" s="93"/>
      <c r="N26" s="93"/>
      <c r="O26" s="93"/>
      <c r="P26" s="93">
        <f>E26+J26</f>
        <v>818206</v>
      </c>
      <c r="Q26" s="251"/>
      <c r="R26" s="189"/>
      <c r="S26" s="189"/>
      <c r="T26" s="189"/>
    </row>
    <row r="27" spans="1:20" s="33" customFormat="1" ht="33.75" customHeight="1">
      <c r="A27" s="91" t="s">
        <v>478</v>
      </c>
      <c r="B27" s="91" t="str">
        <f>'дод. 4'!A133</f>
        <v>3242</v>
      </c>
      <c r="C27" s="91" t="str">
        <f>'дод. 4'!B133</f>
        <v>1090</v>
      </c>
      <c r="D27" s="119" t="str">
        <f>'дод. 4'!C133</f>
        <v>Інші заходи у сфері соціального захисту і соціального забезпечення</v>
      </c>
      <c r="E27" s="93">
        <f>F27+I27</f>
        <v>182066</v>
      </c>
      <c r="F27" s="93">
        <v>182066</v>
      </c>
      <c r="G27" s="93"/>
      <c r="H27" s="93"/>
      <c r="I27" s="93"/>
      <c r="J27" s="93"/>
      <c r="K27" s="93"/>
      <c r="L27" s="93"/>
      <c r="M27" s="93"/>
      <c r="N27" s="93"/>
      <c r="O27" s="93"/>
      <c r="P27" s="93">
        <f>E27+J27</f>
        <v>182066</v>
      </c>
      <c r="Q27" s="251"/>
      <c r="R27" s="189"/>
      <c r="S27" s="189"/>
      <c r="T27" s="189"/>
    </row>
    <row r="28" spans="1:20" s="232" customFormat="1" ht="50.25" customHeight="1">
      <c r="A28" s="88" t="s">
        <v>592</v>
      </c>
      <c r="B28" s="88" t="str">
        <f>'дод. 4'!A136</f>
        <v>4060</v>
      </c>
      <c r="C28" s="88" t="str">
        <f>'дод. 4'!B136</f>
        <v>0828</v>
      </c>
      <c r="D28" s="122" t="str">
        <f>'дод. 4'!C136</f>
        <v>Забезпечення діяльності палаців i будинків культури, клубів, центрів дозвілля та iнших клубних закладів</v>
      </c>
      <c r="E28" s="90">
        <f>F28+I28</f>
        <v>1551300</v>
      </c>
      <c r="F28" s="90">
        <v>1551300</v>
      </c>
      <c r="G28" s="90">
        <v>783989</v>
      </c>
      <c r="H28" s="90">
        <v>37625</v>
      </c>
      <c r="I28" s="90"/>
      <c r="J28" s="90">
        <f>K28+N28</f>
        <v>28500</v>
      </c>
      <c r="K28" s="90"/>
      <c r="L28" s="90"/>
      <c r="M28" s="90"/>
      <c r="N28" s="90">
        <v>28500</v>
      </c>
      <c r="O28" s="90">
        <v>28500</v>
      </c>
      <c r="P28" s="90">
        <f>E28+J28</f>
        <v>1579800</v>
      </c>
      <c r="Q28" s="251"/>
      <c r="R28" s="187"/>
      <c r="S28" s="187"/>
      <c r="T28" s="187"/>
    </row>
    <row r="29" spans="1:20" s="4" customFormat="1" ht="28.5" customHeight="1">
      <c r="A29" s="94" t="s">
        <v>247</v>
      </c>
      <c r="B29" s="94" t="str">
        <f>'дод. 4'!A137</f>
        <v>4080</v>
      </c>
      <c r="C29" s="94">
        <f>'дод. 4'!B137</f>
        <v>0</v>
      </c>
      <c r="D29" s="120" t="str">
        <f>'дод. 4'!C137</f>
        <v>Інші заклади та заходи в галузі культури і мистецтва</v>
      </c>
      <c r="E29" s="96">
        <f>E30+E31</f>
        <v>2579200</v>
      </c>
      <c r="F29" s="96">
        <f aca="true" t="shared" si="7" ref="F29:P29">F30+F31</f>
        <v>2579200</v>
      </c>
      <c r="G29" s="96">
        <f t="shared" si="7"/>
        <v>998500</v>
      </c>
      <c r="H29" s="96">
        <f t="shared" si="7"/>
        <v>78540</v>
      </c>
      <c r="I29" s="96">
        <f t="shared" si="7"/>
        <v>0</v>
      </c>
      <c r="J29" s="96">
        <f t="shared" si="7"/>
        <v>20500</v>
      </c>
      <c r="K29" s="96">
        <f t="shared" si="7"/>
        <v>0</v>
      </c>
      <c r="L29" s="96">
        <f t="shared" si="7"/>
        <v>0</v>
      </c>
      <c r="M29" s="96">
        <f t="shared" si="7"/>
        <v>0</v>
      </c>
      <c r="N29" s="96">
        <f t="shared" si="7"/>
        <v>20500</v>
      </c>
      <c r="O29" s="96">
        <f t="shared" si="7"/>
        <v>20500</v>
      </c>
      <c r="P29" s="96">
        <f t="shared" si="7"/>
        <v>2599700</v>
      </c>
      <c r="Q29" s="251"/>
      <c r="R29" s="188"/>
      <c r="S29" s="188"/>
      <c r="T29" s="188"/>
    </row>
    <row r="30" spans="1:20" s="134" customFormat="1" ht="30.75" customHeight="1">
      <c r="A30" s="91" t="s">
        <v>475</v>
      </c>
      <c r="B30" s="91" t="str">
        <f>'дод. 4'!A138</f>
        <v>4081</v>
      </c>
      <c r="C30" s="91" t="str">
        <f>'дод. 4'!B138</f>
        <v>0829</v>
      </c>
      <c r="D30" s="119" t="str">
        <f>'дод. 4'!C138</f>
        <v>Забезпечення діяльності інших закладів в галузі культури і мистецтва </v>
      </c>
      <c r="E30" s="93">
        <f>F30+I30</f>
        <v>2159000</v>
      </c>
      <c r="F30" s="93">
        <f>2846100-420200+884400+400000-1551300</f>
        <v>2159000</v>
      </c>
      <c r="G30" s="93">
        <f>1782489-783989</f>
        <v>998500</v>
      </c>
      <c r="H30" s="93">
        <f>116165-37625</f>
        <v>78540</v>
      </c>
      <c r="I30" s="93"/>
      <c r="J30" s="93">
        <f>K30+N30</f>
        <v>20500</v>
      </c>
      <c r="K30" s="93"/>
      <c r="L30" s="93"/>
      <c r="M30" s="93"/>
      <c r="N30" s="93">
        <f>49000-28500</f>
        <v>20500</v>
      </c>
      <c r="O30" s="93">
        <f>49000-28500</f>
        <v>20500</v>
      </c>
      <c r="P30" s="93">
        <f>E30+J30</f>
        <v>2179500</v>
      </c>
      <c r="Q30" s="251"/>
      <c r="R30" s="189"/>
      <c r="S30" s="189"/>
      <c r="T30" s="189"/>
    </row>
    <row r="31" spans="1:20" s="134" customFormat="1" ht="25.5" customHeight="1">
      <c r="A31" s="91" t="s">
        <v>476</v>
      </c>
      <c r="B31" s="91" t="str">
        <f>'дод. 4'!A139</f>
        <v>4082</v>
      </c>
      <c r="C31" s="91" t="str">
        <f>'дод. 4'!B139</f>
        <v>0829</v>
      </c>
      <c r="D31" s="119" t="str">
        <f>'дод. 4'!C139</f>
        <v>Інші заходи в галузі культури і мистецтва</v>
      </c>
      <c r="E31" s="93">
        <f>F31+I31</f>
        <v>420200</v>
      </c>
      <c r="F31" s="93">
        <f>420200</f>
        <v>420200</v>
      </c>
      <c r="G31" s="93"/>
      <c r="H31" s="93"/>
      <c r="I31" s="93"/>
      <c r="J31" s="93">
        <f>K31+N31</f>
        <v>0</v>
      </c>
      <c r="K31" s="93"/>
      <c r="L31" s="93"/>
      <c r="M31" s="93"/>
      <c r="N31" s="93"/>
      <c r="O31" s="93"/>
      <c r="P31" s="93">
        <f>E31+J31</f>
        <v>420200</v>
      </c>
      <c r="Q31" s="251"/>
      <c r="R31" s="189"/>
      <c r="S31" s="189"/>
      <c r="T31" s="189"/>
    </row>
    <row r="32" spans="1:20" s="4" customFormat="1" ht="21.75" customHeight="1">
      <c r="A32" s="97" t="s">
        <v>248</v>
      </c>
      <c r="B32" s="97" t="str">
        <f>'дод. 4'!A141</f>
        <v>5010</v>
      </c>
      <c r="C32" s="97">
        <f>'дод. 4'!B141</f>
        <v>0</v>
      </c>
      <c r="D32" s="125" t="str">
        <f>'дод. 4'!C141</f>
        <v>Проведення спортивної роботи в регіоні</v>
      </c>
      <c r="E32" s="96">
        <f>E33+E34</f>
        <v>1476070</v>
      </c>
      <c r="F32" s="96">
        <f aca="true" t="shared" si="8" ref="F32:P32">F33+F34</f>
        <v>1476070</v>
      </c>
      <c r="G32" s="96">
        <f t="shared" si="8"/>
        <v>0</v>
      </c>
      <c r="H32" s="96">
        <f t="shared" si="8"/>
        <v>0</v>
      </c>
      <c r="I32" s="96">
        <f t="shared" si="8"/>
        <v>0</v>
      </c>
      <c r="J32" s="96">
        <f t="shared" si="8"/>
        <v>177000</v>
      </c>
      <c r="K32" s="96">
        <f t="shared" si="8"/>
        <v>0</v>
      </c>
      <c r="L32" s="96">
        <f t="shared" si="8"/>
        <v>0</v>
      </c>
      <c r="M32" s="96">
        <f t="shared" si="8"/>
        <v>0</v>
      </c>
      <c r="N32" s="96">
        <f t="shared" si="8"/>
        <v>177000</v>
      </c>
      <c r="O32" s="96">
        <f t="shared" si="8"/>
        <v>177000</v>
      </c>
      <c r="P32" s="96">
        <f t="shared" si="8"/>
        <v>1653070</v>
      </c>
      <c r="Q32" s="251"/>
      <c r="R32" s="188"/>
      <c r="S32" s="188"/>
      <c r="T32" s="188"/>
    </row>
    <row r="33" spans="1:20" s="134" customFormat="1" ht="36.75" customHeight="1">
      <c r="A33" s="135" t="s">
        <v>249</v>
      </c>
      <c r="B33" s="135" t="str">
        <f>'дод. 4'!A142</f>
        <v>5011</v>
      </c>
      <c r="C33" s="135" t="str">
        <f>'дод. 4'!B142</f>
        <v>0810</v>
      </c>
      <c r="D33" s="136" t="str">
        <f>'дод. 4'!C142</f>
        <v>Проведення навчально-тренувальних зборів і змагань з олімпійських видів спорту</v>
      </c>
      <c r="E33" s="93">
        <f>F33+I33</f>
        <v>776070</v>
      </c>
      <c r="F33" s="93">
        <f>700000+76070</f>
        <v>776070</v>
      </c>
      <c r="G33" s="93"/>
      <c r="H33" s="93"/>
      <c r="I33" s="93"/>
      <c r="J33" s="93">
        <f t="shared" si="3"/>
        <v>177000</v>
      </c>
      <c r="K33" s="93"/>
      <c r="L33" s="93"/>
      <c r="M33" s="93"/>
      <c r="N33" s="93">
        <v>177000</v>
      </c>
      <c r="O33" s="93">
        <v>177000</v>
      </c>
      <c r="P33" s="93">
        <f>E33+J33</f>
        <v>953070</v>
      </c>
      <c r="Q33" s="251"/>
      <c r="R33" s="189"/>
      <c r="S33" s="189"/>
      <c r="T33" s="189"/>
    </row>
    <row r="34" spans="1:20" s="134" customFormat="1" ht="34.5" customHeight="1">
      <c r="A34" s="135" t="s">
        <v>250</v>
      </c>
      <c r="B34" s="135" t="str">
        <f>'дод. 4'!A143</f>
        <v>5012</v>
      </c>
      <c r="C34" s="135" t="str">
        <f>'дод. 4'!B143</f>
        <v>0810</v>
      </c>
      <c r="D34" s="136" t="str">
        <f>'дод. 4'!C143</f>
        <v>Проведення навчально-тренувальних зборів і змагань з неолімпійських видів спорту</v>
      </c>
      <c r="E34" s="93">
        <f>F34+I34</f>
        <v>700000</v>
      </c>
      <c r="F34" s="93">
        <v>700000</v>
      </c>
      <c r="G34" s="93"/>
      <c r="H34" s="93"/>
      <c r="I34" s="93"/>
      <c r="J34" s="93">
        <f t="shared" si="3"/>
        <v>0</v>
      </c>
      <c r="K34" s="93"/>
      <c r="L34" s="93"/>
      <c r="M34" s="93"/>
      <c r="N34" s="93"/>
      <c r="O34" s="93"/>
      <c r="P34" s="93">
        <f>E34+J34</f>
        <v>700000</v>
      </c>
      <c r="Q34" s="251"/>
      <c r="R34" s="189"/>
      <c r="S34" s="189"/>
      <c r="T34" s="189"/>
    </row>
    <row r="35" spans="1:20" s="4" customFormat="1" ht="21" customHeight="1">
      <c r="A35" s="97" t="s">
        <v>251</v>
      </c>
      <c r="B35" s="97" t="str">
        <f>'дод. 4'!A144</f>
        <v>5030</v>
      </c>
      <c r="C35" s="97">
        <f>'дод. 4'!B144</f>
        <v>0</v>
      </c>
      <c r="D35" s="125" t="str">
        <f>'дод. 4'!C144</f>
        <v>Розвиток дитячо-юнацького та резервного спорту</v>
      </c>
      <c r="E35" s="96">
        <f>E36+E37</f>
        <v>16918700</v>
      </c>
      <c r="F35" s="96">
        <f aca="true" t="shared" si="9" ref="F35:P35">F36+F37</f>
        <v>16918700</v>
      </c>
      <c r="G35" s="96">
        <f t="shared" si="9"/>
        <v>6380000</v>
      </c>
      <c r="H35" s="96">
        <f t="shared" si="9"/>
        <v>586810</v>
      </c>
      <c r="I35" s="96">
        <f t="shared" si="9"/>
        <v>0</v>
      </c>
      <c r="J35" s="96">
        <f t="shared" si="9"/>
        <v>200000</v>
      </c>
      <c r="K35" s="96">
        <f t="shared" si="9"/>
        <v>0</v>
      </c>
      <c r="L35" s="96">
        <f t="shared" si="9"/>
        <v>0</v>
      </c>
      <c r="M35" s="96">
        <f t="shared" si="9"/>
        <v>0</v>
      </c>
      <c r="N35" s="96">
        <f t="shared" si="9"/>
        <v>200000</v>
      </c>
      <c r="O35" s="96">
        <f t="shared" si="9"/>
        <v>200000</v>
      </c>
      <c r="P35" s="96">
        <f t="shared" si="9"/>
        <v>17118700</v>
      </c>
      <c r="Q35" s="251"/>
      <c r="R35" s="188"/>
      <c r="S35" s="188"/>
      <c r="T35" s="188"/>
    </row>
    <row r="36" spans="1:20" s="134" customFormat="1" ht="30" customHeight="1">
      <c r="A36" s="135" t="s">
        <v>252</v>
      </c>
      <c r="B36" s="135" t="str">
        <f>'дод. 4'!A145</f>
        <v>5031</v>
      </c>
      <c r="C36" s="135" t="str">
        <f>'дод. 4'!B145</f>
        <v>0810</v>
      </c>
      <c r="D36" s="136" t="str">
        <f>'дод. 4'!C145</f>
        <v>Утримання та навчально-тренувальна робота комунальних дитячо-юнацьких спортивних шкіл</v>
      </c>
      <c r="E36" s="93">
        <f>F36+I36</f>
        <v>9296900</v>
      </c>
      <c r="F36" s="93">
        <f>8719900+577000</f>
        <v>9296900</v>
      </c>
      <c r="G36" s="93">
        <f>6380000</f>
        <v>6380000</v>
      </c>
      <c r="H36" s="93">
        <v>586810</v>
      </c>
      <c r="I36" s="93"/>
      <c r="J36" s="93">
        <f t="shared" si="3"/>
        <v>200000</v>
      </c>
      <c r="K36" s="93"/>
      <c r="L36" s="93"/>
      <c r="M36" s="93"/>
      <c r="N36" s="93">
        <v>200000</v>
      </c>
      <c r="O36" s="93">
        <v>200000</v>
      </c>
      <c r="P36" s="93">
        <f>E36+J36</f>
        <v>9496900</v>
      </c>
      <c r="Q36" s="251"/>
      <c r="R36" s="189"/>
      <c r="S36" s="189"/>
      <c r="T36" s="189"/>
    </row>
    <row r="37" spans="1:20" s="134" customFormat="1" ht="45">
      <c r="A37" s="135" t="s">
        <v>253</v>
      </c>
      <c r="B37" s="135" t="str">
        <f>'дод. 4'!A146</f>
        <v>5032</v>
      </c>
      <c r="C37" s="135" t="str">
        <f>'дод. 4'!B146</f>
        <v>0810</v>
      </c>
      <c r="D37" s="136" t="str">
        <f>'дод. 4'!C146</f>
        <v>Фінансова підтримка дитячо-юнацьких спортивних шкіл фізкультурно-спортивних товариств</v>
      </c>
      <c r="E37" s="93">
        <f>F37+I37</f>
        <v>7621800</v>
      </c>
      <c r="F37" s="93">
        <f>7321800+300000</f>
        <v>7621800</v>
      </c>
      <c r="G37" s="93"/>
      <c r="H37" s="93"/>
      <c r="I37" s="93"/>
      <c r="J37" s="93">
        <f t="shared" si="3"/>
        <v>0</v>
      </c>
      <c r="K37" s="93"/>
      <c r="L37" s="93"/>
      <c r="M37" s="93"/>
      <c r="N37" s="93"/>
      <c r="O37" s="93"/>
      <c r="P37" s="93">
        <f>E37+J37</f>
        <v>7621800</v>
      </c>
      <c r="Q37" s="258">
        <v>16</v>
      </c>
      <c r="R37" s="189"/>
      <c r="S37" s="189"/>
      <c r="T37" s="189"/>
    </row>
    <row r="38" spans="1:20" s="134" customFormat="1" ht="26.25" customHeight="1">
      <c r="A38" s="97" t="s">
        <v>254</v>
      </c>
      <c r="B38" s="97" t="str">
        <f>'дод. 4'!A147</f>
        <v>5060</v>
      </c>
      <c r="C38" s="97">
        <f>'дод. 4'!B147</f>
        <v>0</v>
      </c>
      <c r="D38" s="125" t="str">
        <f>'дод. 4'!C147</f>
        <v>Інші заходи з розвитку фізичної культури та спорту</v>
      </c>
      <c r="E38" s="96">
        <f>E39+E40</f>
        <v>8490000</v>
      </c>
      <c r="F38" s="96">
        <f aca="true" t="shared" si="10" ref="F38:P38">F39+F40</f>
        <v>8490000</v>
      </c>
      <c r="G38" s="96">
        <f t="shared" si="10"/>
        <v>1685000</v>
      </c>
      <c r="H38" s="96">
        <f t="shared" si="10"/>
        <v>407210</v>
      </c>
      <c r="I38" s="96">
        <f t="shared" si="10"/>
        <v>0</v>
      </c>
      <c r="J38" s="96">
        <f t="shared" si="10"/>
        <v>246687</v>
      </c>
      <c r="K38" s="96">
        <f t="shared" si="10"/>
        <v>226687</v>
      </c>
      <c r="L38" s="96">
        <f t="shared" si="10"/>
        <v>141022</v>
      </c>
      <c r="M38" s="96">
        <f t="shared" si="10"/>
        <v>53404</v>
      </c>
      <c r="N38" s="96">
        <f t="shared" si="10"/>
        <v>20000</v>
      </c>
      <c r="O38" s="96">
        <f t="shared" si="10"/>
        <v>20000</v>
      </c>
      <c r="P38" s="96">
        <f t="shared" si="10"/>
        <v>8736687</v>
      </c>
      <c r="Q38" s="258"/>
      <c r="R38" s="188"/>
      <c r="S38" s="188"/>
      <c r="T38" s="188"/>
    </row>
    <row r="39" spans="1:20" s="134" customFormat="1" ht="60">
      <c r="A39" s="135" t="s">
        <v>255</v>
      </c>
      <c r="B39" s="135" t="str">
        <f>'дод. 4'!A148</f>
        <v>5061</v>
      </c>
      <c r="C39" s="135" t="str">
        <f>'дод. 4'!B148</f>
        <v>0810</v>
      </c>
      <c r="D39" s="136" t="str">
        <f>'дод. 4'!C148</f>
        <v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v>
      </c>
      <c r="E39" s="93">
        <f>F39+I39</f>
        <v>3246540</v>
      </c>
      <c r="F39" s="93">
        <v>3246540</v>
      </c>
      <c r="G39" s="93">
        <v>1685000</v>
      </c>
      <c r="H39" s="93">
        <v>407210</v>
      </c>
      <c r="I39" s="93"/>
      <c r="J39" s="93">
        <f t="shared" si="3"/>
        <v>246687</v>
      </c>
      <c r="K39" s="93">
        <f>226687</f>
        <v>226687</v>
      </c>
      <c r="L39" s="93">
        <v>141022</v>
      </c>
      <c r="M39" s="93">
        <v>53404</v>
      </c>
      <c r="N39" s="93">
        <f>20000</f>
        <v>20000</v>
      </c>
      <c r="O39" s="93">
        <v>20000</v>
      </c>
      <c r="P39" s="93">
        <f>E39+J39</f>
        <v>3493227</v>
      </c>
      <c r="Q39" s="258"/>
      <c r="R39" s="189"/>
      <c r="S39" s="189"/>
      <c r="T39" s="189"/>
    </row>
    <row r="40" spans="1:20" s="134" customFormat="1" ht="45">
      <c r="A40" s="135" t="s">
        <v>256</v>
      </c>
      <c r="B40" s="135" t="str">
        <f>'дод. 4'!A149</f>
        <v>5062</v>
      </c>
      <c r="C40" s="135" t="str">
        <f>'дод. 4'!B149</f>
        <v>0810</v>
      </c>
      <c r="D40" s="136" t="str">
        <f>'дод. 4'!C149</f>
        <v>Підтримка спорту вищих досягнень та організацій, які здійснюють фізкультурно-спортивну діяльність в регіоні</v>
      </c>
      <c r="E40" s="93">
        <f>F40+I40</f>
        <v>5243460</v>
      </c>
      <c r="F40" s="93">
        <f>5143460+50000+50000</f>
        <v>5243460</v>
      </c>
      <c r="G40" s="93"/>
      <c r="H40" s="93"/>
      <c r="I40" s="93"/>
      <c r="J40" s="93">
        <f t="shared" si="3"/>
        <v>0</v>
      </c>
      <c r="K40" s="93"/>
      <c r="L40" s="93"/>
      <c r="M40" s="93"/>
      <c r="N40" s="93"/>
      <c r="O40" s="93"/>
      <c r="P40" s="93">
        <f>E40+J40</f>
        <v>5243460</v>
      </c>
      <c r="Q40" s="258"/>
      <c r="R40" s="189"/>
      <c r="S40" s="189"/>
      <c r="T40" s="189"/>
    </row>
    <row r="41" spans="1:20" s="4" customFormat="1" ht="34.5" customHeight="1">
      <c r="A41" s="97" t="s">
        <v>257</v>
      </c>
      <c r="B41" s="97" t="str">
        <f>'дод. 4'!A173</f>
        <v>7410</v>
      </c>
      <c r="C41" s="97">
        <f>'дод. 4'!B173</f>
        <v>0</v>
      </c>
      <c r="D41" s="125" t="str">
        <f>'дод. 4'!C173</f>
        <v>Забезпечення надання послуг з перевезення пасажирів автомобільним транспортом</v>
      </c>
      <c r="E41" s="96">
        <f>E42</f>
        <v>3000000</v>
      </c>
      <c r="F41" s="96">
        <f aca="true" t="shared" si="11" ref="F41:P41">F42</f>
        <v>0</v>
      </c>
      <c r="G41" s="96">
        <f t="shared" si="11"/>
        <v>0</v>
      </c>
      <c r="H41" s="96">
        <f t="shared" si="11"/>
        <v>0</v>
      </c>
      <c r="I41" s="96">
        <f t="shared" si="11"/>
        <v>3000000</v>
      </c>
      <c r="J41" s="96">
        <f t="shared" si="11"/>
        <v>0</v>
      </c>
      <c r="K41" s="96">
        <f t="shared" si="11"/>
        <v>0</v>
      </c>
      <c r="L41" s="96">
        <f t="shared" si="11"/>
        <v>0</v>
      </c>
      <c r="M41" s="96">
        <f t="shared" si="11"/>
        <v>0</v>
      </c>
      <c r="N41" s="96">
        <f t="shared" si="11"/>
        <v>0</v>
      </c>
      <c r="O41" s="96">
        <f t="shared" si="11"/>
        <v>0</v>
      </c>
      <c r="P41" s="96">
        <f t="shared" si="11"/>
        <v>3000000</v>
      </c>
      <c r="Q41" s="258"/>
      <c r="R41" s="188"/>
      <c r="S41" s="188"/>
      <c r="T41" s="188"/>
    </row>
    <row r="42" spans="1:20" s="134" customFormat="1" ht="30">
      <c r="A42" s="135" t="s">
        <v>258</v>
      </c>
      <c r="B42" s="135" t="str">
        <f>'дод. 4'!A174</f>
        <v>7412</v>
      </c>
      <c r="C42" s="135" t="str">
        <f>'дод. 4'!B174</f>
        <v>0451</v>
      </c>
      <c r="D42" s="136" t="str">
        <f>'дод. 4'!C174</f>
        <v>Регулювання цін на послуги місцевого автотранспорту</v>
      </c>
      <c r="E42" s="93">
        <f>F42+I42</f>
        <v>3000000</v>
      </c>
      <c r="F42" s="93"/>
      <c r="G42" s="93"/>
      <c r="H42" s="93"/>
      <c r="I42" s="93">
        <v>3000000</v>
      </c>
      <c r="J42" s="93">
        <f t="shared" si="3"/>
        <v>0</v>
      </c>
      <c r="K42" s="93"/>
      <c r="L42" s="93"/>
      <c r="M42" s="93"/>
      <c r="N42" s="93"/>
      <c r="O42" s="93"/>
      <c r="P42" s="93">
        <f>E42+J42</f>
        <v>3000000</v>
      </c>
      <c r="Q42" s="258"/>
      <c r="R42" s="189"/>
      <c r="S42" s="189"/>
      <c r="T42" s="189"/>
    </row>
    <row r="43" spans="1:20" s="4" customFormat="1" ht="30">
      <c r="A43" s="97" t="s">
        <v>259</v>
      </c>
      <c r="B43" s="97" t="str">
        <f>'дод. 4'!A175</f>
        <v>7420</v>
      </c>
      <c r="C43" s="97">
        <f>'дод. 4'!B175</f>
        <v>0</v>
      </c>
      <c r="D43" s="125" t="str">
        <f>'дод. 4'!C175</f>
        <v>Забезпечення надання послуг з перевезення пасажирів електротранспортом</v>
      </c>
      <c r="E43" s="96">
        <f>E44+E45</f>
        <v>18544636</v>
      </c>
      <c r="F43" s="96">
        <f aca="true" t="shared" si="12" ref="F43:P43">F44+F45</f>
        <v>0</v>
      </c>
      <c r="G43" s="96">
        <f t="shared" si="12"/>
        <v>0</v>
      </c>
      <c r="H43" s="96">
        <f t="shared" si="12"/>
        <v>0</v>
      </c>
      <c r="I43" s="96">
        <f t="shared" si="12"/>
        <v>18544636</v>
      </c>
      <c r="J43" s="96">
        <f t="shared" si="12"/>
        <v>810000</v>
      </c>
      <c r="K43" s="96">
        <f t="shared" si="12"/>
        <v>0</v>
      </c>
      <c r="L43" s="96">
        <f t="shared" si="12"/>
        <v>0</v>
      </c>
      <c r="M43" s="96">
        <f t="shared" si="12"/>
        <v>0</v>
      </c>
      <c r="N43" s="96">
        <f t="shared" si="12"/>
        <v>810000</v>
      </c>
      <c r="O43" s="96">
        <f t="shared" si="12"/>
        <v>810000</v>
      </c>
      <c r="P43" s="96">
        <f t="shared" si="12"/>
        <v>19354636</v>
      </c>
      <c r="Q43" s="258"/>
      <c r="R43" s="188"/>
      <c r="S43" s="188"/>
      <c r="T43" s="188"/>
    </row>
    <row r="44" spans="1:20" s="134" customFormat="1" ht="30">
      <c r="A44" s="135" t="s">
        <v>260</v>
      </c>
      <c r="B44" s="135" t="str">
        <f>'дод. 4'!A176</f>
        <v>7422</v>
      </c>
      <c r="C44" s="135" t="str">
        <f>'дод. 4'!B176</f>
        <v>0453</v>
      </c>
      <c r="D44" s="136" t="str">
        <f>'дод. 4'!C176</f>
        <v>Регулювання цін на послуги місцевого наземного електротранспорту</v>
      </c>
      <c r="E44" s="93">
        <f aca="true" t="shared" si="13" ref="E44:E51">F44+I44</f>
        <v>6000000</v>
      </c>
      <c r="F44" s="93"/>
      <c r="G44" s="93"/>
      <c r="H44" s="93"/>
      <c r="I44" s="93">
        <v>6000000</v>
      </c>
      <c r="J44" s="93">
        <f t="shared" si="3"/>
        <v>0</v>
      </c>
      <c r="K44" s="93"/>
      <c r="L44" s="93"/>
      <c r="M44" s="93"/>
      <c r="N44" s="93"/>
      <c r="O44" s="93"/>
      <c r="P44" s="93">
        <f>E44+J44</f>
        <v>6000000</v>
      </c>
      <c r="Q44" s="258"/>
      <c r="R44" s="189"/>
      <c r="S44" s="189"/>
      <c r="T44" s="189"/>
    </row>
    <row r="45" spans="1:20" s="134" customFormat="1" ht="21.75" customHeight="1">
      <c r="A45" s="135" t="s">
        <v>376</v>
      </c>
      <c r="B45" s="135" t="str">
        <f>'дод. 4'!A177</f>
        <v>7426</v>
      </c>
      <c r="C45" s="135" t="str">
        <f>'дод. 4'!B177</f>
        <v>0453</v>
      </c>
      <c r="D45" s="136" t="str">
        <f>'дод. 4'!C177</f>
        <v>Інші заходи у сфері електротранспорту</v>
      </c>
      <c r="E45" s="93">
        <f t="shared" si="13"/>
        <v>12544636</v>
      </c>
      <c r="F45" s="93"/>
      <c r="G45" s="93"/>
      <c r="H45" s="93"/>
      <c r="I45" s="93">
        <f>12858252-313616</f>
        <v>12544636</v>
      </c>
      <c r="J45" s="93">
        <f t="shared" si="3"/>
        <v>810000</v>
      </c>
      <c r="K45" s="93"/>
      <c r="L45" s="93"/>
      <c r="M45" s="93"/>
      <c r="N45" s="93">
        <f>810000</f>
        <v>810000</v>
      </c>
      <c r="O45" s="93">
        <f>810000</f>
        <v>810000</v>
      </c>
      <c r="P45" s="93">
        <f>E45+J45</f>
        <v>13354636</v>
      </c>
      <c r="Q45" s="258"/>
      <c r="R45" s="189"/>
      <c r="S45" s="189"/>
      <c r="T45" s="189"/>
    </row>
    <row r="46" spans="1:20" s="4" customFormat="1" ht="21.75" customHeight="1">
      <c r="A46" s="98" t="s">
        <v>493</v>
      </c>
      <c r="B46" s="98" t="str">
        <f>'дод. 4'!A178</f>
        <v>7450</v>
      </c>
      <c r="C46" s="98" t="str">
        <f>'дод. 4'!B178</f>
        <v>0456</v>
      </c>
      <c r="D46" s="148" t="str">
        <f>'дод. 4'!C178</f>
        <v>Інша діяльність у сфері транспорту </v>
      </c>
      <c r="E46" s="90">
        <f t="shared" si="13"/>
        <v>450000</v>
      </c>
      <c r="F46" s="90">
        <v>450000</v>
      </c>
      <c r="G46" s="90"/>
      <c r="H46" s="90"/>
      <c r="I46" s="90"/>
      <c r="J46" s="90">
        <f>K46+N46</f>
        <v>0</v>
      </c>
      <c r="K46" s="90"/>
      <c r="L46" s="90"/>
      <c r="M46" s="90"/>
      <c r="N46" s="90"/>
      <c r="O46" s="90"/>
      <c r="P46" s="90">
        <f>J46+E46</f>
        <v>450000</v>
      </c>
      <c r="Q46" s="258"/>
      <c r="R46" s="187"/>
      <c r="S46" s="187"/>
      <c r="T46" s="187"/>
    </row>
    <row r="47" spans="1:20" s="137" customFormat="1" ht="30">
      <c r="A47" s="98" t="s">
        <v>377</v>
      </c>
      <c r="B47" s="98" t="str">
        <f>'дод. 4'!A180</f>
        <v>7530</v>
      </c>
      <c r="C47" s="98" t="str">
        <f>'дод. 4'!B180</f>
        <v>0460</v>
      </c>
      <c r="D47" s="121" t="str">
        <f>'дод. 4'!C180</f>
        <v>Інші заходи у сфері зв'язку, телекомунікації та інформатики</v>
      </c>
      <c r="E47" s="90">
        <f t="shared" si="13"/>
        <v>7276490</v>
      </c>
      <c r="F47" s="90">
        <f>2629000+1696500+1371000+1579990</f>
        <v>7276490</v>
      </c>
      <c r="G47" s="90"/>
      <c r="H47" s="90"/>
      <c r="I47" s="90"/>
      <c r="J47" s="90">
        <f>K47+N47</f>
        <v>4897000</v>
      </c>
      <c r="K47" s="90"/>
      <c r="L47" s="90"/>
      <c r="M47" s="90"/>
      <c r="N47" s="90">
        <f>3005500+1891500</f>
        <v>4897000</v>
      </c>
      <c r="O47" s="90">
        <f>3005500+1891500</f>
        <v>4897000</v>
      </c>
      <c r="P47" s="90">
        <f>E47+J47</f>
        <v>12173490</v>
      </c>
      <c r="Q47" s="258"/>
      <c r="R47" s="187"/>
      <c r="S47" s="187"/>
      <c r="T47" s="187"/>
    </row>
    <row r="48" spans="1:20" s="134" customFormat="1" ht="30">
      <c r="A48" s="97" t="s">
        <v>261</v>
      </c>
      <c r="B48" s="97" t="str">
        <f>'дод. 4'!A182</f>
        <v>7610</v>
      </c>
      <c r="C48" s="97" t="str">
        <f>'дод. 4'!B182</f>
        <v>0411</v>
      </c>
      <c r="D48" s="125" t="str">
        <f>'дод. 4'!C182</f>
        <v>Сприяння розвитку малого та середнього підприємництва</v>
      </c>
      <c r="E48" s="96">
        <f t="shared" si="13"/>
        <v>88000</v>
      </c>
      <c r="F48" s="96">
        <v>88000</v>
      </c>
      <c r="G48" s="96"/>
      <c r="H48" s="96"/>
      <c r="I48" s="96"/>
      <c r="J48" s="96">
        <f t="shared" si="3"/>
        <v>0</v>
      </c>
      <c r="K48" s="96"/>
      <c r="L48" s="96"/>
      <c r="M48" s="96"/>
      <c r="N48" s="96"/>
      <c r="O48" s="96"/>
      <c r="P48" s="96">
        <f>E48+J48</f>
        <v>88000</v>
      </c>
      <c r="Q48" s="258"/>
      <c r="R48" s="187"/>
      <c r="S48" s="187"/>
      <c r="T48" s="187"/>
    </row>
    <row r="49" spans="1:20" s="134" customFormat="1" ht="18.75" customHeight="1">
      <c r="A49" s="97" t="s">
        <v>402</v>
      </c>
      <c r="B49" s="97" t="str">
        <f>'дод. 4'!A183</f>
        <v>7640</v>
      </c>
      <c r="C49" s="97" t="str">
        <f>'дод. 4'!B183</f>
        <v>0470</v>
      </c>
      <c r="D49" s="125" t="str">
        <f>'дод. 4'!C183</f>
        <v>Заходи з енергозбереження</v>
      </c>
      <c r="E49" s="96">
        <f t="shared" si="13"/>
        <v>125175</v>
      </c>
      <c r="F49" s="96">
        <v>125175</v>
      </c>
      <c r="G49" s="96"/>
      <c r="H49" s="96"/>
      <c r="I49" s="96"/>
      <c r="J49" s="96">
        <f>K49+N49</f>
        <v>0</v>
      </c>
      <c r="K49" s="96"/>
      <c r="L49" s="96"/>
      <c r="M49" s="96"/>
      <c r="N49" s="96"/>
      <c r="O49" s="96"/>
      <c r="P49" s="96">
        <f>E49+J49</f>
        <v>125175</v>
      </c>
      <c r="Q49" s="258"/>
      <c r="R49" s="187"/>
      <c r="S49" s="187"/>
      <c r="T49" s="187"/>
    </row>
    <row r="50" spans="1:20" s="134" customFormat="1" ht="30">
      <c r="A50" s="97" t="s">
        <v>262</v>
      </c>
      <c r="B50" s="97" t="str">
        <f>'дод. 4'!A186</f>
        <v>7670</v>
      </c>
      <c r="C50" s="97" t="str">
        <f>'дод. 4'!B186</f>
        <v>0490</v>
      </c>
      <c r="D50" s="125" t="str">
        <f>'дод. 4'!C186</f>
        <v>Внески до статутного капіталу суб’єктів господарювання</v>
      </c>
      <c r="E50" s="96">
        <f t="shared" si="13"/>
        <v>0</v>
      </c>
      <c r="F50" s="96"/>
      <c r="G50" s="96"/>
      <c r="H50" s="96"/>
      <c r="I50" s="96"/>
      <c r="J50" s="96">
        <f t="shared" si="3"/>
        <v>29240000</v>
      </c>
      <c r="K50" s="96"/>
      <c r="L50" s="96"/>
      <c r="M50" s="96"/>
      <c r="N50" s="96">
        <f>4220000+24220000+800000</f>
        <v>29240000</v>
      </c>
      <c r="O50" s="96">
        <f>4220000+24220000+800000</f>
        <v>29240000</v>
      </c>
      <c r="P50" s="96">
        <f>E50+J50</f>
        <v>29240000</v>
      </c>
      <c r="Q50" s="258"/>
      <c r="R50" s="187"/>
      <c r="S50" s="187"/>
      <c r="T50" s="187"/>
    </row>
    <row r="51" spans="1:20" s="134" customFormat="1" ht="30">
      <c r="A51" s="97" t="s">
        <v>391</v>
      </c>
      <c r="B51" s="97" t="str">
        <f>'дод. 4'!A187</f>
        <v>7680</v>
      </c>
      <c r="C51" s="97" t="str">
        <f>'дод. 4'!B187</f>
        <v>0490</v>
      </c>
      <c r="D51" s="125" t="str">
        <f>'дод. 4'!C187</f>
        <v>Членські внески до асоціацій органів місцевого самоврядування</v>
      </c>
      <c r="E51" s="96">
        <f t="shared" si="13"/>
        <v>209333</v>
      </c>
      <c r="F51" s="96">
        <f>50000+159333</f>
        <v>209333</v>
      </c>
      <c r="G51" s="96"/>
      <c r="H51" s="96"/>
      <c r="I51" s="96"/>
      <c r="J51" s="96">
        <f t="shared" si="3"/>
        <v>0</v>
      </c>
      <c r="K51" s="96"/>
      <c r="L51" s="96"/>
      <c r="M51" s="96"/>
      <c r="N51" s="96"/>
      <c r="O51" s="96"/>
      <c r="P51" s="96">
        <f>E51+J51</f>
        <v>209333</v>
      </c>
      <c r="Q51" s="258"/>
      <c r="R51" s="187"/>
      <c r="S51" s="187"/>
      <c r="T51" s="187"/>
    </row>
    <row r="52" spans="1:20" s="134" customFormat="1" ht="19.5" customHeight="1">
      <c r="A52" s="97" t="s">
        <v>263</v>
      </c>
      <c r="B52" s="97" t="str">
        <f>'дод. 4'!A188</f>
        <v>7690</v>
      </c>
      <c r="C52" s="97">
        <f>'дод. 4'!B188</f>
        <v>0</v>
      </c>
      <c r="D52" s="125" t="str">
        <f>'дод. 4'!C188</f>
        <v>Інша економічна діяльність</v>
      </c>
      <c r="E52" s="96">
        <f>E53+E54</f>
        <v>1802059</v>
      </c>
      <c r="F52" s="96">
        <f aca="true" t="shared" si="14" ref="F52:P52">F53+F54</f>
        <v>1802059</v>
      </c>
      <c r="G52" s="96">
        <f t="shared" si="14"/>
        <v>0</v>
      </c>
      <c r="H52" s="96">
        <f t="shared" si="14"/>
        <v>0</v>
      </c>
      <c r="I52" s="96">
        <f t="shared" si="14"/>
        <v>0</v>
      </c>
      <c r="J52" s="96">
        <f t="shared" si="14"/>
        <v>63407</v>
      </c>
      <c r="K52" s="96">
        <f t="shared" si="14"/>
        <v>63407</v>
      </c>
      <c r="L52" s="96">
        <f t="shared" si="14"/>
        <v>0</v>
      </c>
      <c r="M52" s="96">
        <f t="shared" si="14"/>
        <v>0</v>
      </c>
      <c r="N52" s="96">
        <f t="shared" si="14"/>
        <v>0</v>
      </c>
      <c r="O52" s="96">
        <f t="shared" si="14"/>
        <v>0</v>
      </c>
      <c r="P52" s="96">
        <f t="shared" si="14"/>
        <v>1865466</v>
      </c>
      <c r="Q52" s="258"/>
      <c r="R52" s="188"/>
      <c r="S52" s="188"/>
      <c r="T52" s="188"/>
    </row>
    <row r="53" spans="1:20" s="134" customFormat="1" ht="135" customHeight="1">
      <c r="A53" s="135" t="s">
        <v>473</v>
      </c>
      <c r="B53" s="135" t="str">
        <f>'дод. 4'!A189</f>
        <v>7691</v>
      </c>
      <c r="C53" s="135" t="str">
        <f>'дод. 4'!B189</f>
        <v>0490</v>
      </c>
      <c r="D53" s="14" t="s">
        <v>501</v>
      </c>
      <c r="E53" s="93">
        <f aca="true" t="shared" si="15" ref="E53:E59">F53+I53</f>
        <v>0</v>
      </c>
      <c r="F53" s="93"/>
      <c r="G53" s="93"/>
      <c r="H53" s="93"/>
      <c r="I53" s="93"/>
      <c r="J53" s="93">
        <f t="shared" si="3"/>
        <v>63407</v>
      </c>
      <c r="K53" s="93">
        <v>63407</v>
      </c>
      <c r="L53" s="93"/>
      <c r="M53" s="93"/>
      <c r="N53" s="93"/>
      <c r="O53" s="93"/>
      <c r="P53" s="93">
        <f aca="true" t="shared" si="16" ref="P53:P59">E53+J53</f>
        <v>63407</v>
      </c>
      <c r="Q53" s="258"/>
      <c r="R53" s="189"/>
      <c r="S53" s="189"/>
      <c r="T53" s="189"/>
    </row>
    <row r="54" spans="1:20" s="134" customFormat="1" ht="23.25" customHeight="1">
      <c r="A54" s="135" t="s">
        <v>384</v>
      </c>
      <c r="B54" s="135" t="str">
        <f>'дод. 4'!A190</f>
        <v>7693</v>
      </c>
      <c r="C54" s="135" t="str">
        <f>'дод. 4'!B190</f>
        <v>0490</v>
      </c>
      <c r="D54" s="138" t="str">
        <f>'дод. 4'!C190</f>
        <v>Інші заходи, пов'язані з економічною діяльністю</v>
      </c>
      <c r="E54" s="93">
        <f t="shared" si="15"/>
        <v>1802059</v>
      </c>
      <c r="F54" s="93">
        <f>1449859+262200+90000</f>
        <v>1802059</v>
      </c>
      <c r="G54" s="93"/>
      <c r="H54" s="93"/>
      <c r="I54" s="93"/>
      <c r="J54" s="93">
        <f t="shared" si="3"/>
        <v>0</v>
      </c>
      <c r="K54" s="93"/>
      <c r="L54" s="93"/>
      <c r="M54" s="93"/>
      <c r="N54" s="93"/>
      <c r="O54" s="93"/>
      <c r="P54" s="93">
        <f t="shared" si="16"/>
        <v>1802059</v>
      </c>
      <c r="Q54" s="258"/>
      <c r="R54" s="189"/>
      <c r="S54" s="189"/>
      <c r="T54" s="189"/>
    </row>
    <row r="55" spans="1:20" s="134" customFormat="1" ht="34.5" customHeight="1">
      <c r="A55" s="97" t="s">
        <v>264</v>
      </c>
      <c r="B55" s="97" t="str">
        <f>'дод. 4'!A193</f>
        <v>8110</v>
      </c>
      <c r="C55" s="97" t="str">
        <f>'дод. 4'!B193</f>
        <v>0320</v>
      </c>
      <c r="D55" s="125" t="str">
        <f>'дод. 4'!C193</f>
        <v>Заходи із запобігання та ліквідації надзвичайних ситуацій та наслідків стихійного лиха</v>
      </c>
      <c r="E55" s="96">
        <f t="shared" si="15"/>
        <v>408930</v>
      </c>
      <c r="F55" s="96">
        <f>228570+180360</f>
        <v>408930</v>
      </c>
      <c r="G55" s="96"/>
      <c r="H55" s="96">
        <v>5070</v>
      </c>
      <c r="I55" s="96"/>
      <c r="J55" s="96">
        <f t="shared" si="3"/>
        <v>0</v>
      </c>
      <c r="K55" s="96"/>
      <c r="L55" s="96"/>
      <c r="M55" s="96"/>
      <c r="N55" s="96"/>
      <c r="O55" s="96"/>
      <c r="P55" s="96">
        <f t="shared" si="16"/>
        <v>408930</v>
      </c>
      <c r="Q55" s="258"/>
      <c r="R55" s="187"/>
      <c r="S55" s="187"/>
      <c r="T55" s="187"/>
    </row>
    <row r="56" spans="1:20" s="134" customFormat="1" ht="19.5" customHeight="1">
      <c r="A56" s="97" t="s">
        <v>360</v>
      </c>
      <c r="B56" s="97" t="str">
        <f>'дод. 4'!A194</f>
        <v>8120</v>
      </c>
      <c r="C56" s="97" t="str">
        <f>'дод. 4'!B194</f>
        <v>0320</v>
      </c>
      <c r="D56" s="125" t="str">
        <f>'дод. 4'!C194</f>
        <v>Заходи з організації рятування на водах</v>
      </c>
      <c r="E56" s="96">
        <f t="shared" si="15"/>
        <v>1517110</v>
      </c>
      <c r="F56" s="96">
        <f>1451100+43510+22500</f>
        <v>1517110</v>
      </c>
      <c r="G56" s="96">
        <v>1087750</v>
      </c>
      <c r="H56" s="96">
        <v>76315</v>
      </c>
      <c r="I56" s="96"/>
      <c r="J56" s="96">
        <f t="shared" si="3"/>
        <v>5100</v>
      </c>
      <c r="K56" s="96">
        <f>5100</f>
        <v>5100</v>
      </c>
      <c r="L56" s="96"/>
      <c r="M56" s="96">
        <f>1200</f>
        <v>1200</v>
      </c>
      <c r="N56" s="96"/>
      <c r="O56" s="96"/>
      <c r="P56" s="96">
        <f t="shared" si="16"/>
        <v>1522210</v>
      </c>
      <c r="Q56" s="258"/>
      <c r="R56" s="187"/>
      <c r="S56" s="187"/>
      <c r="T56" s="187"/>
    </row>
    <row r="57" spans="1:20" s="134" customFormat="1" ht="19.5" customHeight="1">
      <c r="A57" s="97" t="s">
        <v>387</v>
      </c>
      <c r="B57" s="97" t="str">
        <f>'дод. 4'!A196</f>
        <v>8230</v>
      </c>
      <c r="C57" s="97" t="str">
        <f>'дод. 4'!B196</f>
        <v>0380</v>
      </c>
      <c r="D57" s="125" t="str">
        <f>'дод. 4'!C196</f>
        <v>Інші заходи громадського порядку та безпеки</v>
      </c>
      <c r="E57" s="96">
        <f t="shared" si="15"/>
        <v>391300</v>
      </c>
      <c r="F57" s="96">
        <v>391300</v>
      </c>
      <c r="G57" s="96"/>
      <c r="H57" s="96">
        <v>222241</v>
      </c>
      <c r="I57" s="96"/>
      <c r="J57" s="96">
        <f t="shared" si="3"/>
        <v>0</v>
      </c>
      <c r="K57" s="96"/>
      <c r="L57" s="96"/>
      <c r="M57" s="96"/>
      <c r="N57" s="96"/>
      <c r="O57" s="96"/>
      <c r="P57" s="96">
        <f t="shared" si="16"/>
        <v>391300</v>
      </c>
      <c r="Q57" s="258"/>
      <c r="R57" s="187"/>
      <c r="S57" s="187"/>
      <c r="T57" s="187"/>
    </row>
    <row r="58" spans="1:20" s="134" customFormat="1" ht="29.25" customHeight="1">
      <c r="A58" s="94" t="s">
        <v>265</v>
      </c>
      <c r="B58" s="94" t="str">
        <f>'дод. 4'!A199</f>
        <v>8340</v>
      </c>
      <c r="C58" s="94" t="str">
        <f>'дод. 4'!B199</f>
        <v>0540</v>
      </c>
      <c r="D58" s="120" t="str">
        <f>'дод. 4'!C199</f>
        <v>Природоохоронні заходи за рахунок цільових фондів</v>
      </c>
      <c r="E58" s="96">
        <f t="shared" si="15"/>
        <v>0</v>
      </c>
      <c r="F58" s="96"/>
      <c r="G58" s="96"/>
      <c r="H58" s="96"/>
      <c r="I58" s="96"/>
      <c r="J58" s="96">
        <f t="shared" si="3"/>
        <v>123500</v>
      </c>
      <c r="K58" s="96">
        <v>123500</v>
      </c>
      <c r="L58" s="96"/>
      <c r="M58" s="96"/>
      <c r="N58" s="96"/>
      <c r="O58" s="96"/>
      <c r="P58" s="96">
        <f t="shared" si="16"/>
        <v>123500</v>
      </c>
      <c r="Q58" s="258"/>
      <c r="R58" s="187"/>
      <c r="S58" s="187"/>
      <c r="T58" s="187"/>
    </row>
    <row r="59" spans="1:20" s="4" customFormat="1" ht="24" customHeight="1">
      <c r="A59" s="97" t="s">
        <v>398</v>
      </c>
      <c r="B59" s="97" t="str">
        <f>'дод. 4'!A201</f>
        <v>8420</v>
      </c>
      <c r="C59" s="97" t="str">
        <f>'дод. 4'!B201</f>
        <v>0830</v>
      </c>
      <c r="D59" s="125" t="str">
        <f>'дод. 4'!C201</f>
        <v>Інші заходи у сфері засобів масової інформації</v>
      </c>
      <c r="E59" s="96">
        <f t="shared" si="15"/>
        <v>164000</v>
      </c>
      <c r="F59" s="96">
        <v>164000</v>
      </c>
      <c r="G59" s="96"/>
      <c r="H59" s="96"/>
      <c r="I59" s="96"/>
      <c r="J59" s="96">
        <f t="shared" si="3"/>
        <v>0</v>
      </c>
      <c r="K59" s="96"/>
      <c r="L59" s="96"/>
      <c r="M59" s="96"/>
      <c r="N59" s="96"/>
      <c r="O59" s="96"/>
      <c r="P59" s="96">
        <f t="shared" si="16"/>
        <v>164000</v>
      </c>
      <c r="Q59" s="258"/>
      <c r="R59" s="187"/>
      <c r="S59" s="187"/>
      <c r="T59" s="187"/>
    </row>
    <row r="60" spans="1:20" s="129" customFormat="1" ht="24.75" customHeight="1">
      <c r="A60" s="139" t="s">
        <v>266</v>
      </c>
      <c r="B60" s="140"/>
      <c r="C60" s="140"/>
      <c r="D60" s="36" t="s">
        <v>48</v>
      </c>
      <c r="E60" s="47">
        <f>E61</f>
        <v>737225827</v>
      </c>
      <c r="F60" s="47">
        <f aca="true" t="shared" si="17" ref="F60:P60">F61</f>
        <v>737225827</v>
      </c>
      <c r="G60" s="47">
        <f t="shared" si="17"/>
        <v>472796000</v>
      </c>
      <c r="H60" s="47">
        <f t="shared" si="17"/>
        <v>69735910</v>
      </c>
      <c r="I60" s="47">
        <f t="shared" si="17"/>
        <v>0</v>
      </c>
      <c r="J60" s="47">
        <f t="shared" si="17"/>
        <v>73370953</v>
      </c>
      <c r="K60" s="47">
        <f t="shared" si="17"/>
        <v>48295548</v>
      </c>
      <c r="L60" s="47">
        <f t="shared" si="17"/>
        <v>2677494</v>
      </c>
      <c r="M60" s="47">
        <f t="shared" si="17"/>
        <v>2371330</v>
      </c>
      <c r="N60" s="47">
        <f t="shared" si="17"/>
        <v>25075405</v>
      </c>
      <c r="O60" s="47">
        <f t="shared" si="17"/>
        <v>24833705</v>
      </c>
      <c r="P60" s="47">
        <f t="shared" si="17"/>
        <v>810596780</v>
      </c>
      <c r="Q60" s="258"/>
      <c r="R60" s="184"/>
      <c r="S60" s="184"/>
      <c r="T60" s="184"/>
    </row>
    <row r="61" spans="1:20" s="132" customFormat="1" ht="18" customHeight="1">
      <c r="A61" s="141" t="s">
        <v>267</v>
      </c>
      <c r="B61" s="142"/>
      <c r="C61" s="142"/>
      <c r="D61" s="143" t="s">
        <v>48</v>
      </c>
      <c r="E61" s="87">
        <f aca="true" t="shared" si="18" ref="E61:P61">E63+E64+E65+E67+E69+E71+E72+E74+E75+E78+E81+E83+E84+E79</f>
        <v>737225827</v>
      </c>
      <c r="F61" s="87">
        <f t="shared" si="18"/>
        <v>737225827</v>
      </c>
      <c r="G61" s="87">
        <f t="shared" si="18"/>
        <v>472796000</v>
      </c>
      <c r="H61" s="87">
        <f t="shared" si="18"/>
        <v>69735910</v>
      </c>
      <c r="I61" s="87">
        <f t="shared" si="18"/>
        <v>0</v>
      </c>
      <c r="J61" s="87">
        <f t="shared" si="18"/>
        <v>73370953</v>
      </c>
      <c r="K61" s="87">
        <f t="shared" si="18"/>
        <v>48295548</v>
      </c>
      <c r="L61" s="87">
        <f t="shared" si="18"/>
        <v>2677494</v>
      </c>
      <c r="M61" s="87">
        <f t="shared" si="18"/>
        <v>2371330</v>
      </c>
      <c r="N61" s="87">
        <f t="shared" si="18"/>
        <v>25075405</v>
      </c>
      <c r="O61" s="87">
        <f t="shared" si="18"/>
        <v>24833705</v>
      </c>
      <c r="P61" s="87">
        <f t="shared" si="18"/>
        <v>810596780</v>
      </c>
      <c r="Q61" s="258"/>
      <c r="R61" s="191"/>
      <c r="S61" s="191"/>
      <c r="T61" s="191"/>
    </row>
    <row r="62" spans="1:20" s="132" customFormat="1" ht="15">
      <c r="A62" s="141"/>
      <c r="B62" s="142"/>
      <c r="C62" s="142"/>
      <c r="D62" s="143" t="s">
        <v>416</v>
      </c>
      <c r="E62" s="87">
        <f>E66+E68+E70+E73</f>
        <v>259300600</v>
      </c>
      <c r="F62" s="87">
        <f aca="true" t="shared" si="19" ref="F62:P62">F66+F68+F70+F73</f>
        <v>259300600</v>
      </c>
      <c r="G62" s="87">
        <f t="shared" si="19"/>
        <v>212872900</v>
      </c>
      <c r="H62" s="87">
        <f t="shared" si="19"/>
        <v>0</v>
      </c>
      <c r="I62" s="87">
        <f t="shared" si="19"/>
        <v>0</v>
      </c>
      <c r="J62" s="87">
        <f t="shared" si="19"/>
        <v>0</v>
      </c>
      <c r="K62" s="87">
        <f t="shared" si="19"/>
        <v>0</v>
      </c>
      <c r="L62" s="87">
        <f t="shared" si="19"/>
        <v>0</v>
      </c>
      <c r="M62" s="87">
        <f t="shared" si="19"/>
        <v>0</v>
      </c>
      <c r="N62" s="87">
        <f t="shared" si="19"/>
        <v>0</v>
      </c>
      <c r="O62" s="87">
        <f t="shared" si="19"/>
        <v>0</v>
      </c>
      <c r="P62" s="87">
        <f t="shared" si="19"/>
        <v>259300600</v>
      </c>
      <c r="Q62" s="258"/>
      <c r="R62" s="186"/>
      <c r="S62" s="186"/>
      <c r="T62" s="186"/>
    </row>
    <row r="63" spans="1:20" s="4" customFormat="1" ht="45">
      <c r="A63" s="88" t="s">
        <v>268</v>
      </c>
      <c r="B63" s="88" t="str">
        <f>'дод. 4'!A14</f>
        <v>0160</v>
      </c>
      <c r="C63" s="88" t="str">
        <f>'дод. 4'!B14</f>
        <v>0111</v>
      </c>
      <c r="D63" s="89" t="str">
        <f>'дод. 4'!C14</f>
        <v>Керівництво і управління у відповідній сфері у містах (місті Києві), селищах, селах, об’єднаних територіальних громадах</v>
      </c>
      <c r="E63" s="90">
        <f aca="true" t="shared" si="20" ref="E63:E74">F63+I63</f>
        <v>3028200</v>
      </c>
      <c r="F63" s="90">
        <f>3102600-74400</f>
        <v>3028200</v>
      </c>
      <c r="G63" s="90">
        <v>2367000</v>
      </c>
      <c r="H63" s="90">
        <v>38870</v>
      </c>
      <c r="I63" s="90"/>
      <c r="J63" s="90">
        <f aca="true" t="shared" si="21" ref="J63:J84">K63+N63</f>
        <v>16000</v>
      </c>
      <c r="K63" s="90"/>
      <c r="L63" s="90"/>
      <c r="M63" s="90"/>
      <c r="N63" s="90">
        <v>16000</v>
      </c>
      <c r="O63" s="90">
        <v>16000</v>
      </c>
      <c r="P63" s="90">
        <f aca="true" t="shared" si="22" ref="P63:P74">E63+J63</f>
        <v>3044200</v>
      </c>
      <c r="Q63" s="258"/>
      <c r="R63" s="187"/>
      <c r="S63" s="187"/>
      <c r="T63" s="187"/>
    </row>
    <row r="64" spans="1:20" s="4" customFormat="1" ht="21.75" customHeight="1">
      <c r="A64" s="88" t="s">
        <v>269</v>
      </c>
      <c r="B64" s="88" t="str">
        <f>'дод. 4'!A18</f>
        <v>1010</v>
      </c>
      <c r="C64" s="88" t="str">
        <f>'дод. 4'!B18</f>
        <v>0910</v>
      </c>
      <c r="D64" s="122" t="str">
        <f>'дод. 4'!C18</f>
        <v>Надання дошкільної освіти</v>
      </c>
      <c r="E64" s="90">
        <f t="shared" si="20"/>
        <v>190472470</v>
      </c>
      <c r="F64" s="90">
        <f>190467470+5000</f>
        <v>190472470</v>
      </c>
      <c r="G64" s="90">
        <v>119291300</v>
      </c>
      <c r="H64" s="90">
        <v>22031690</v>
      </c>
      <c r="I64" s="90"/>
      <c r="J64" s="90">
        <f t="shared" si="21"/>
        <v>19565511</v>
      </c>
      <c r="K64" s="90">
        <f>16065511</f>
        <v>16065511</v>
      </c>
      <c r="L64" s="90"/>
      <c r="M64" s="90"/>
      <c r="N64" s="90">
        <v>3500000</v>
      </c>
      <c r="O64" s="90">
        <v>3500000</v>
      </c>
      <c r="P64" s="90">
        <f t="shared" si="22"/>
        <v>210037981</v>
      </c>
      <c r="Q64" s="258"/>
      <c r="R64" s="187"/>
      <c r="S64" s="187"/>
      <c r="T64" s="187"/>
    </row>
    <row r="65" spans="1:20" s="4" customFormat="1" ht="63.75" customHeight="1">
      <c r="A65" s="88" t="s">
        <v>270</v>
      </c>
      <c r="B65" s="88" t="str">
        <f>'дод. 4'!A19</f>
        <v>1020</v>
      </c>
      <c r="C65" s="88" t="str">
        <f>'дод. 4'!B19</f>
        <v>0921</v>
      </c>
      <c r="D65" s="122" t="str">
        <f>'дод. 4'!C19</f>
        <v>Надання загальної середньої освіти загальноосвітніми навчальними закладами (в т. ч. школою-дитячим садком, інтернатом при школі), спеціалізованими школами, ліцеями, гімназіями, колегіумами</v>
      </c>
      <c r="E65" s="90">
        <f t="shared" si="20"/>
        <v>397875957</v>
      </c>
      <c r="F65" s="90">
        <f>395462520+83700+10010+2251990+48337+19400</f>
        <v>397875957</v>
      </c>
      <c r="G65" s="90">
        <f>266266600+83700-15000</f>
        <v>266335300</v>
      </c>
      <c r="H65" s="90">
        <v>34867640</v>
      </c>
      <c r="I65" s="90"/>
      <c r="J65" s="90">
        <f t="shared" si="21"/>
        <v>33247472</v>
      </c>
      <c r="K65" s="90">
        <f>25377767</f>
        <v>25377767</v>
      </c>
      <c r="L65" s="90">
        <v>624000</v>
      </c>
      <c r="M65" s="90">
        <v>36920</v>
      </c>
      <c r="N65" s="90">
        <f>7400000+419705+50000</f>
        <v>7869705</v>
      </c>
      <c r="O65" s="90">
        <f>7400000+419705+50000</f>
        <v>7869705</v>
      </c>
      <c r="P65" s="90">
        <f t="shared" si="22"/>
        <v>431123429</v>
      </c>
      <c r="Q65" s="258"/>
      <c r="R65" s="187"/>
      <c r="S65" s="187"/>
      <c r="T65" s="187"/>
    </row>
    <row r="66" spans="1:20" s="4" customFormat="1" ht="15">
      <c r="A66" s="88"/>
      <c r="B66" s="100"/>
      <c r="C66" s="100"/>
      <c r="D66" s="89" t="s">
        <v>416</v>
      </c>
      <c r="E66" s="90">
        <f t="shared" si="20"/>
        <v>244384200</v>
      </c>
      <c r="F66" s="90">
        <f>244300500+83700</f>
        <v>244384200</v>
      </c>
      <c r="G66" s="90">
        <f>200571200+83700-15000</f>
        <v>200639900</v>
      </c>
      <c r="H66" s="90"/>
      <c r="I66" s="90"/>
      <c r="J66" s="90">
        <f t="shared" si="21"/>
        <v>0</v>
      </c>
      <c r="K66" s="90"/>
      <c r="L66" s="90"/>
      <c r="M66" s="90"/>
      <c r="N66" s="90"/>
      <c r="O66" s="90"/>
      <c r="P66" s="90">
        <f t="shared" si="22"/>
        <v>244384200</v>
      </c>
      <c r="Q66" s="258"/>
      <c r="R66" s="187"/>
      <c r="S66" s="187"/>
      <c r="T66" s="187"/>
    </row>
    <row r="67" spans="1:20" s="4" customFormat="1" ht="31.5" customHeight="1">
      <c r="A67" s="88" t="s">
        <v>423</v>
      </c>
      <c r="B67" s="88" t="str">
        <f>'дод. 4'!A21</f>
        <v>1030</v>
      </c>
      <c r="C67" s="88" t="str">
        <f>'дод. 4'!B21</f>
        <v>0921</v>
      </c>
      <c r="D67" s="122" t="str">
        <f>'дод. 4'!C21</f>
        <v>Надання загальної середньої освіти вечiрнiми (змінними) школами</v>
      </c>
      <c r="E67" s="90">
        <f t="shared" si="20"/>
        <v>778340</v>
      </c>
      <c r="F67" s="90">
        <v>778340</v>
      </c>
      <c r="G67" s="90">
        <v>637000</v>
      </c>
      <c r="H67" s="90"/>
      <c r="I67" s="90"/>
      <c r="J67" s="90">
        <f t="shared" si="21"/>
        <v>0</v>
      </c>
      <c r="K67" s="90"/>
      <c r="L67" s="90"/>
      <c r="M67" s="90"/>
      <c r="N67" s="90"/>
      <c r="O67" s="90"/>
      <c r="P67" s="90">
        <f t="shared" si="22"/>
        <v>778340</v>
      </c>
      <c r="Q67" s="258"/>
      <c r="R67" s="187"/>
      <c r="S67" s="187"/>
      <c r="T67" s="187"/>
    </row>
    <row r="68" spans="1:20" s="4" customFormat="1" ht="15">
      <c r="A68" s="88"/>
      <c r="B68" s="100"/>
      <c r="C68" s="100"/>
      <c r="D68" s="89" t="s">
        <v>416</v>
      </c>
      <c r="E68" s="90">
        <f t="shared" si="20"/>
        <v>777140</v>
      </c>
      <c r="F68" s="90">
        <v>777140</v>
      </c>
      <c r="G68" s="90">
        <v>637000</v>
      </c>
      <c r="H68" s="90"/>
      <c r="I68" s="90"/>
      <c r="J68" s="90">
        <f>K68+N68</f>
        <v>0</v>
      </c>
      <c r="K68" s="90"/>
      <c r="L68" s="90"/>
      <c r="M68" s="90"/>
      <c r="N68" s="90"/>
      <c r="O68" s="90"/>
      <c r="P68" s="90">
        <f t="shared" si="22"/>
        <v>777140</v>
      </c>
      <c r="Q68" s="258"/>
      <c r="R68" s="187"/>
      <c r="S68" s="187"/>
      <c r="T68" s="187"/>
    </row>
    <row r="69" spans="1:20" s="4" customFormat="1" ht="75" customHeight="1">
      <c r="A69" s="88" t="s">
        <v>354</v>
      </c>
      <c r="B69" s="88" t="str">
        <f>'дод. 4'!A23</f>
        <v>1070</v>
      </c>
      <c r="C69" s="88" t="str">
        <f>'дод. 4'!B23</f>
        <v>0922</v>
      </c>
      <c r="D69" s="122" t="str">
        <f>'дод. 4'!C23</f>
        <v>Надання загальної середньої освіти спеціальними 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v>
      </c>
      <c r="E69" s="90">
        <f t="shared" si="20"/>
        <v>7458330</v>
      </c>
      <c r="F69" s="90">
        <v>7458330</v>
      </c>
      <c r="G69" s="90">
        <v>5205700</v>
      </c>
      <c r="H69" s="90">
        <v>615230</v>
      </c>
      <c r="I69" s="90"/>
      <c r="J69" s="90">
        <f t="shared" si="21"/>
        <v>100000</v>
      </c>
      <c r="K69" s="90"/>
      <c r="L69" s="90"/>
      <c r="M69" s="90"/>
      <c r="N69" s="90">
        <v>100000</v>
      </c>
      <c r="O69" s="90">
        <v>100000</v>
      </c>
      <c r="P69" s="90">
        <f t="shared" si="22"/>
        <v>7558330</v>
      </c>
      <c r="Q69" s="258">
        <v>17</v>
      </c>
      <c r="R69" s="187"/>
      <c r="S69" s="187"/>
      <c r="T69" s="187"/>
    </row>
    <row r="70" spans="1:20" s="4" customFormat="1" ht="15">
      <c r="A70" s="88"/>
      <c r="B70" s="100"/>
      <c r="C70" s="100"/>
      <c r="D70" s="89" t="s">
        <v>416</v>
      </c>
      <c r="E70" s="90">
        <f t="shared" si="20"/>
        <v>4957260</v>
      </c>
      <c r="F70" s="90">
        <v>4957260</v>
      </c>
      <c r="G70" s="90">
        <v>4070000</v>
      </c>
      <c r="H70" s="90"/>
      <c r="I70" s="90"/>
      <c r="J70" s="90">
        <f t="shared" si="21"/>
        <v>0</v>
      </c>
      <c r="K70" s="90"/>
      <c r="L70" s="90"/>
      <c r="M70" s="90"/>
      <c r="N70" s="90"/>
      <c r="O70" s="90"/>
      <c r="P70" s="90">
        <f t="shared" si="22"/>
        <v>4957260</v>
      </c>
      <c r="Q70" s="258"/>
      <c r="R70" s="187"/>
      <c r="S70" s="187"/>
      <c r="T70" s="187"/>
    </row>
    <row r="71" spans="1:20" s="4" customFormat="1" ht="36" customHeight="1">
      <c r="A71" s="88" t="s">
        <v>355</v>
      </c>
      <c r="B71" s="88" t="str">
        <f>'дод. 4'!A25</f>
        <v>1090</v>
      </c>
      <c r="C71" s="88" t="str">
        <f>'дод. 4'!B25</f>
        <v>0960</v>
      </c>
      <c r="D71" s="122" t="str">
        <f>'дод. 4'!C25</f>
        <v>Надання позашкільної освіти позашкільними закладами освіти, заходи із позашкільної роботи з дітьми </v>
      </c>
      <c r="E71" s="90">
        <f t="shared" si="20"/>
        <v>21531690</v>
      </c>
      <c r="F71" s="90">
        <v>21531690</v>
      </c>
      <c r="G71" s="90">
        <v>15425500</v>
      </c>
      <c r="H71" s="90">
        <v>2331620</v>
      </c>
      <c r="I71" s="90"/>
      <c r="J71" s="90">
        <f t="shared" si="21"/>
        <v>400000</v>
      </c>
      <c r="K71" s="90"/>
      <c r="L71" s="90"/>
      <c r="M71" s="90"/>
      <c r="N71" s="90">
        <v>400000</v>
      </c>
      <c r="O71" s="90">
        <v>400000</v>
      </c>
      <c r="P71" s="90">
        <f t="shared" si="22"/>
        <v>21931690</v>
      </c>
      <c r="Q71" s="258"/>
      <c r="R71" s="187"/>
      <c r="S71" s="187"/>
      <c r="T71" s="187"/>
    </row>
    <row r="72" spans="1:20" s="4" customFormat="1" ht="33.75" customHeight="1">
      <c r="A72" s="88" t="s">
        <v>353</v>
      </c>
      <c r="B72" s="88" t="str">
        <f>'дод. 4'!A27</f>
        <v>1110</v>
      </c>
      <c r="C72" s="88" t="str">
        <f>'дод. 4'!B27</f>
        <v>0930</v>
      </c>
      <c r="D72" s="122" t="str">
        <f>'дод. 4'!C27</f>
        <v>Підготовка кадрів професійно-технічними закладами та іншими закладами освіти</v>
      </c>
      <c r="E72" s="90">
        <f t="shared" si="20"/>
        <v>93735900</v>
      </c>
      <c r="F72" s="90">
        <f>91735900+2000000</f>
        <v>93735900</v>
      </c>
      <c r="G72" s="90">
        <v>52999200</v>
      </c>
      <c r="H72" s="90">
        <v>9089100</v>
      </c>
      <c r="I72" s="90">
        <v>0</v>
      </c>
      <c r="J72" s="90">
        <f t="shared" si="21"/>
        <v>6708970</v>
      </c>
      <c r="K72" s="90">
        <v>6514270</v>
      </c>
      <c r="L72" s="90">
        <v>2053494</v>
      </c>
      <c r="M72" s="90">
        <v>2334410</v>
      </c>
      <c r="N72" s="90">
        <v>194700</v>
      </c>
      <c r="O72" s="90"/>
      <c r="P72" s="90">
        <f t="shared" si="22"/>
        <v>100444870</v>
      </c>
      <c r="Q72" s="258"/>
      <c r="R72" s="187"/>
      <c r="S72" s="187"/>
      <c r="T72" s="187"/>
    </row>
    <row r="73" spans="1:20" s="4" customFormat="1" ht="15">
      <c r="A73" s="88"/>
      <c r="B73" s="100"/>
      <c r="C73" s="100"/>
      <c r="D73" s="89" t="s">
        <v>416</v>
      </c>
      <c r="E73" s="90">
        <f t="shared" si="20"/>
        <v>9182000</v>
      </c>
      <c r="F73" s="90">
        <v>9182000</v>
      </c>
      <c r="G73" s="90">
        <v>7526000</v>
      </c>
      <c r="H73" s="90"/>
      <c r="I73" s="90"/>
      <c r="J73" s="90">
        <f>K73+N73</f>
        <v>0</v>
      </c>
      <c r="K73" s="90"/>
      <c r="L73" s="90"/>
      <c r="M73" s="90"/>
      <c r="N73" s="90"/>
      <c r="O73" s="90"/>
      <c r="P73" s="90">
        <f t="shared" si="22"/>
        <v>9182000</v>
      </c>
      <c r="Q73" s="258"/>
      <c r="R73" s="187"/>
      <c r="S73" s="187"/>
      <c r="T73" s="187"/>
    </row>
    <row r="74" spans="1:20" s="4" customFormat="1" ht="22.5" customHeight="1">
      <c r="A74" s="88" t="s">
        <v>271</v>
      </c>
      <c r="B74" s="88" t="str">
        <f>'дод. 4'!A29</f>
        <v>1150</v>
      </c>
      <c r="C74" s="88" t="str">
        <f>'дод. 4'!B29</f>
        <v>0990</v>
      </c>
      <c r="D74" s="88" t="str">
        <f>'дод. 4'!C29</f>
        <v>Методичне забезпечення діяльності навчальних закладів  </v>
      </c>
      <c r="E74" s="90">
        <f t="shared" si="20"/>
        <v>3118910</v>
      </c>
      <c r="F74" s="90">
        <v>3118910</v>
      </c>
      <c r="G74" s="90">
        <v>2440000</v>
      </c>
      <c r="H74" s="90">
        <v>103210</v>
      </c>
      <c r="I74" s="90"/>
      <c r="J74" s="90">
        <f t="shared" si="21"/>
        <v>0</v>
      </c>
      <c r="K74" s="90"/>
      <c r="L74" s="90"/>
      <c r="M74" s="90"/>
      <c r="N74" s="90"/>
      <c r="O74" s="90"/>
      <c r="P74" s="90">
        <f t="shared" si="22"/>
        <v>3118910</v>
      </c>
      <c r="Q74" s="258"/>
      <c r="R74" s="187"/>
      <c r="S74" s="187"/>
      <c r="T74" s="187"/>
    </row>
    <row r="75" spans="1:20" s="4" customFormat="1" ht="20.25" customHeight="1">
      <c r="A75" s="88" t="s">
        <v>357</v>
      </c>
      <c r="B75" s="88" t="str">
        <f>'дод. 4'!A30</f>
        <v>1160</v>
      </c>
      <c r="C75" s="88">
        <f>'дод. 4'!B30</f>
        <v>0</v>
      </c>
      <c r="D75" s="123" t="str">
        <f>'дод. 4'!C30</f>
        <v>Інші програми, заклади та заходи у сфері освіти</v>
      </c>
      <c r="E75" s="90">
        <f>E76+E77</f>
        <v>6788000</v>
      </c>
      <c r="F75" s="90">
        <f aca="true" t="shared" si="23" ref="F75:P75">F76+F77</f>
        <v>6788000</v>
      </c>
      <c r="G75" s="90">
        <f t="shared" si="23"/>
        <v>4797600</v>
      </c>
      <c r="H75" s="90">
        <f t="shared" si="23"/>
        <v>460470</v>
      </c>
      <c r="I75" s="90">
        <f t="shared" si="23"/>
        <v>0</v>
      </c>
      <c r="J75" s="90">
        <f t="shared" si="23"/>
        <v>180000</v>
      </c>
      <c r="K75" s="90">
        <f t="shared" si="23"/>
        <v>0</v>
      </c>
      <c r="L75" s="90">
        <f t="shared" si="23"/>
        <v>0</v>
      </c>
      <c r="M75" s="90">
        <f t="shared" si="23"/>
        <v>0</v>
      </c>
      <c r="N75" s="90">
        <f t="shared" si="23"/>
        <v>180000</v>
      </c>
      <c r="O75" s="90">
        <f t="shared" si="23"/>
        <v>180000</v>
      </c>
      <c r="P75" s="90">
        <f t="shared" si="23"/>
        <v>6968000</v>
      </c>
      <c r="Q75" s="258"/>
      <c r="R75" s="188"/>
      <c r="S75" s="188"/>
      <c r="T75" s="188"/>
    </row>
    <row r="76" spans="1:20" s="33" customFormat="1" ht="20.25" customHeight="1">
      <c r="A76" s="91" t="s">
        <v>480</v>
      </c>
      <c r="B76" s="91" t="str">
        <f>'дод. 4'!A31</f>
        <v>1161</v>
      </c>
      <c r="C76" s="91" t="str">
        <f>'дод. 4'!B31</f>
        <v>0990</v>
      </c>
      <c r="D76" s="133" t="str">
        <f>'дод. 4'!C31</f>
        <v>Забезпечення діяльності інших закладів у сфері освіти</v>
      </c>
      <c r="E76" s="93">
        <f>F76+I76</f>
        <v>6712200</v>
      </c>
      <c r="F76" s="93">
        <v>6712200</v>
      </c>
      <c r="G76" s="93">
        <v>4797600</v>
      </c>
      <c r="H76" s="93">
        <v>460470</v>
      </c>
      <c r="I76" s="93"/>
      <c r="J76" s="93">
        <f>K76+N76</f>
        <v>180000</v>
      </c>
      <c r="K76" s="93"/>
      <c r="L76" s="93"/>
      <c r="M76" s="93"/>
      <c r="N76" s="93">
        <v>180000</v>
      </c>
      <c r="O76" s="93">
        <v>180000</v>
      </c>
      <c r="P76" s="93">
        <f>E76+J76</f>
        <v>6892200</v>
      </c>
      <c r="Q76" s="258"/>
      <c r="R76" s="189"/>
      <c r="S76" s="189"/>
      <c r="T76" s="189"/>
    </row>
    <row r="77" spans="1:20" s="33" customFormat="1" ht="20.25" customHeight="1">
      <c r="A77" s="91" t="s">
        <v>481</v>
      </c>
      <c r="B77" s="91" t="str">
        <f>'дод. 4'!A32</f>
        <v>1162</v>
      </c>
      <c r="C77" s="91" t="str">
        <f>'дод. 4'!B32</f>
        <v>0990</v>
      </c>
      <c r="D77" s="133" t="str">
        <f>'дод. 4'!C32</f>
        <v>Інші програми та заходи у сфері освіти</v>
      </c>
      <c r="E77" s="93">
        <f>F77+I77</f>
        <v>75800</v>
      </c>
      <c r="F77" s="93">
        <v>75800</v>
      </c>
      <c r="G77" s="93"/>
      <c r="H77" s="93"/>
      <c r="I77" s="93"/>
      <c r="J77" s="93">
        <f>K77+N77</f>
        <v>0</v>
      </c>
      <c r="K77" s="93"/>
      <c r="L77" s="93"/>
      <c r="M77" s="93"/>
      <c r="N77" s="93"/>
      <c r="O77" s="93"/>
      <c r="P77" s="93">
        <f>E77+J77</f>
        <v>75800</v>
      </c>
      <c r="Q77" s="258"/>
      <c r="R77" s="189"/>
      <c r="S77" s="189"/>
      <c r="T77" s="189"/>
    </row>
    <row r="78" spans="1:20" s="4" customFormat="1" ht="68.25" customHeight="1">
      <c r="A78" s="88" t="s">
        <v>272</v>
      </c>
      <c r="B78" s="88" t="str">
        <f>'дод. 4'!A118</f>
        <v>3140</v>
      </c>
      <c r="C78" s="88" t="str">
        <f>'дод. 4'!B118</f>
        <v>1040</v>
      </c>
      <c r="D78" s="124" t="str">
        <f>'дод. 4'!C118</f>
        <v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v>
      </c>
      <c r="E78" s="90">
        <f>F78+I78</f>
        <v>7000000</v>
      </c>
      <c r="F78" s="90">
        <v>7000000</v>
      </c>
      <c r="G78" s="90"/>
      <c r="H78" s="90"/>
      <c r="I78" s="90"/>
      <c r="J78" s="90">
        <f t="shared" si="21"/>
        <v>0</v>
      </c>
      <c r="K78" s="90"/>
      <c r="L78" s="90"/>
      <c r="M78" s="90"/>
      <c r="N78" s="90"/>
      <c r="O78" s="90"/>
      <c r="P78" s="90">
        <f>E78+J78</f>
        <v>7000000</v>
      </c>
      <c r="Q78" s="258"/>
      <c r="R78" s="187"/>
      <c r="S78" s="187"/>
      <c r="T78" s="187"/>
    </row>
    <row r="79" spans="1:20" s="4" customFormat="1" ht="36.75" customHeight="1">
      <c r="A79" s="88" t="s">
        <v>580</v>
      </c>
      <c r="B79" s="88" t="str">
        <f>'дод. 4'!A131</f>
        <v>3240</v>
      </c>
      <c r="C79" s="88">
        <f>'дод. 4'!B131</f>
        <v>0</v>
      </c>
      <c r="D79" s="123" t="str">
        <f>'дод. 4'!C131</f>
        <v>Інші заклади та заходи</v>
      </c>
      <c r="E79" s="90">
        <f aca="true" t="shared" si="24" ref="E79:P79">E80</f>
        <v>43440</v>
      </c>
      <c r="F79" s="90">
        <f t="shared" si="24"/>
        <v>43440</v>
      </c>
      <c r="G79" s="90">
        <f t="shared" si="24"/>
        <v>0</v>
      </c>
      <c r="H79" s="90">
        <f t="shared" si="24"/>
        <v>0</v>
      </c>
      <c r="I79" s="90">
        <f t="shared" si="24"/>
        <v>0</v>
      </c>
      <c r="J79" s="90">
        <f t="shared" si="24"/>
        <v>0</v>
      </c>
      <c r="K79" s="90">
        <f t="shared" si="24"/>
        <v>0</v>
      </c>
      <c r="L79" s="90">
        <f t="shared" si="24"/>
        <v>0</v>
      </c>
      <c r="M79" s="90">
        <f t="shared" si="24"/>
        <v>0</v>
      </c>
      <c r="N79" s="90">
        <f t="shared" si="24"/>
        <v>0</v>
      </c>
      <c r="O79" s="90">
        <f t="shared" si="24"/>
        <v>0</v>
      </c>
      <c r="P79" s="90">
        <f t="shared" si="24"/>
        <v>43440</v>
      </c>
      <c r="Q79" s="258"/>
      <c r="R79" s="192"/>
      <c r="S79" s="192"/>
      <c r="T79" s="192"/>
    </row>
    <row r="80" spans="1:20" s="134" customFormat="1" ht="36.75" customHeight="1">
      <c r="A80" s="91" t="s">
        <v>581</v>
      </c>
      <c r="B80" s="91" t="str">
        <f>'дод. 4'!A133</f>
        <v>3242</v>
      </c>
      <c r="C80" s="91" t="str">
        <f>'дод. 4'!B133</f>
        <v>1090</v>
      </c>
      <c r="D80" s="119" t="str">
        <f>'дод. 4'!C133</f>
        <v>Інші заходи у сфері соціального захисту і соціального забезпечення</v>
      </c>
      <c r="E80" s="93">
        <f>F80</f>
        <v>43440</v>
      </c>
      <c r="F80" s="93">
        <v>43440</v>
      </c>
      <c r="G80" s="93"/>
      <c r="H80" s="93"/>
      <c r="I80" s="93"/>
      <c r="J80" s="93">
        <f>K80+N80</f>
        <v>0</v>
      </c>
      <c r="K80" s="93"/>
      <c r="L80" s="93"/>
      <c r="M80" s="93"/>
      <c r="N80" s="93"/>
      <c r="O80" s="93"/>
      <c r="P80" s="93">
        <f>E80+J80</f>
        <v>43440</v>
      </c>
      <c r="Q80" s="258"/>
      <c r="R80" s="193"/>
      <c r="S80" s="193"/>
      <c r="T80" s="193"/>
    </row>
    <row r="81" spans="1:20" s="4" customFormat="1" ht="25.5" customHeight="1">
      <c r="A81" s="88" t="s">
        <v>273</v>
      </c>
      <c r="B81" s="88" t="str">
        <f>'дод. 4'!A144</f>
        <v>5030</v>
      </c>
      <c r="C81" s="88">
        <f>'дод. 4'!B144</f>
        <v>0</v>
      </c>
      <c r="D81" s="122" t="str">
        <f>'дод. 4'!C144</f>
        <v>Розвиток дитячо-юнацького та резервного спорту</v>
      </c>
      <c r="E81" s="90">
        <f>E82</f>
        <v>4604090</v>
      </c>
      <c r="F81" s="90">
        <f aca="true" t="shared" si="25" ref="F81:P81">F82</f>
        <v>4604090</v>
      </c>
      <c r="G81" s="90">
        <f t="shared" si="25"/>
        <v>3297400</v>
      </c>
      <c r="H81" s="90">
        <f t="shared" si="25"/>
        <v>198080</v>
      </c>
      <c r="I81" s="90">
        <f t="shared" si="25"/>
        <v>0</v>
      </c>
      <c r="J81" s="90">
        <f t="shared" si="25"/>
        <v>100000</v>
      </c>
      <c r="K81" s="90">
        <f t="shared" si="25"/>
        <v>0</v>
      </c>
      <c r="L81" s="90">
        <f t="shared" si="25"/>
        <v>0</v>
      </c>
      <c r="M81" s="90">
        <f t="shared" si="25"/>
        <v>0</v>
      </c>
      <c r="N81" s="90">
        <f t="shared" si="25"/>
        <v>100000</v>
      </c>
      <c r="O81" s="90">
        <f t="shared" si="25"/>
        <v>100000</v>
      </c>
      <c r="P81" s="90">
        <f t="shared" si="25"/>
        <v>4704090</v>
      </c>
      <c r="Q81" s="258"/>
      <c r="R81" s="188"/>
      <c r="S81" s="188"/>
      <c r="T81" s="188"/>
    </row>
    <row r="82" spans="1:20" s="134" customFormat="1" ht="33" customHeight="1">
      <c r="A82" s="91" t="s">
        <v>274</v>
      </c>
      <c r="B82" s="91" t="str">
        <f>'дод. 4'!A145</f>
        <v>5031</v>
      </c>
      <c r="C82" s="91" t="str">
        <f>'дод. 4'!B145</f>
        <v>0810</v>
      </c>
      <c r="D82" s="119" t="str">
        <f>'дод. 4'!C145</f>
        <v>Утримання та навчально-тренувальна робота комунальних дитячо-юнацьких спортивних шкіл</v>
      </c>
      <c r="E82" s="93">
        <f>F82+I82</f>
        <v>4604090</v>
      </c>
      <c r="F82" s="93">
        <f>4481090+123000</f>
        <v>4604090</v>
      </c>
      <c r="G82" s="93">
        <v>3297400</v>
      </c>
      <c r="H82" s="93">
        <v>198080</v>
      </c>
      <c r="I82" s="93"/>
      <c r="J82" s="93">
        <f t="shared" si="21"/>
        <v>100000</v>
      </c>
      <c r="K82" s="93"/>
      <c r="L82" s="93"/>
      <c r="M82" s="93"/>
      <c r="N82" s="93">
        <v>100000</v>
      </c>
      <c r="O82" s="93">
        <v>100000</v>
      </c>
      <c r="P82" s="93">
        <f>E82+J82</f>
        <v>4704090</v>
      </c>
      <c r="Q82" s="258"/>
      <c r="R82" s="189"/>
      <c r="S82" s="189"/>
      <c r="T82" s="189"/>
    </row>
    <row r="83" spans="1:20" s="134" customFormat="1" ht="25.5" customHeight="1">
      <c r="A83" s="94" t="s">
        <v>275</v>
      </c>
      <c r="B83" s="94" t="str">
        <f>'дод. 4'!A183</f>
        <v>7640</v>
      </c>
      <c r="C83" s="94" t="str">
        <f>'дод. 4'!B183</f>
        <v>0470</v>
      </c>
      <c r="D83" s="120" t="str">
        <f>'дод. 4'!C183</f>
        <v>Заходи з енергозбереження</v>
      </c>
      <c r="E83" s="96">
        <f>F83+I83</f>
        <v>790500</v>
      </c>
      <c r="F83" s="96">
        <v>790500</v>
      </c>
      <c r="G83" s="96"/>
      <c r="H83" s="96"/>
      <c r="I83" s="96"/>
      <c r="J83" s="96">
        <f t="shared" si="21"/>
        <v>12668000</v>
      </c>
      <c r="K83" s="96"/>
      <c r="L83" s="96"/>
      <c r="M83" s="96"/>
      <c r="N83" s="96">
        <f>11768000+900000</f>
        <v>12668000</v>
      </c>
      <c r="O83" s="96">
        <f>11768000+900000</f>
        <v>12668000</v>
      </c>
      <c r="P83" s="96">
        <f>E83+J83</f>
        <v>13458500</v>
      </c>
      <c r="Q83" s="258"/>
      <c r="R83" s="187"/>
      <c r="S83" s="187"/>
      <c r="T83" s="187"/>
    </row>
    <row r="84" spans="1:20" s="134" customFormat="1" ht="24.75" customHeight="1">
      <c r="A84" s="94" t="s">
        <v>276</v>
      </c>
      <c r="B84" s="94" t="str">
        <f>'дод. 4'!A199</f>
        <v>8340</v>
      </c>
      <c r="C84" s="94" t="str">
        <f>'дод. 4'!B199</f>
        <v>0540</v>
      </c>
      <c r="D84" s="120" t="str">
        <f>'дод. 4'!C199</f>
        <v>Природоохоронні заходи за рахунок цільових фондів</v>
      </c>
      <c r="E84" s="96">
        <f>F84+I84</f>
        <v>0</v>
      </c>
      <c r="F84" s="96"/>
      <c r="G84" s="96"/>
      <c r="H84" s="96"/>
      <c r="I84" s="96"/>
      <c r="J84" s="96">
        <f t="shared" si="21"/>
        <v>385000</v>
      </c>
      <c r="K84" s="96">
        <v>338000</v>
      </c>
      <c r="L84" s="96"/>
      <c r="M84" s="96"/>
      <c r="N84" s="96">
        <v>47000</v>
      </c>
      <c r="O84" s="96"/>
      <c r="P84" s="96">
        <f>E84+J84</f>
        <v>385000</v>
      </c>
      <c r="Q84" s="258"/>
      <c r="R84" s="187"/>
      <c r="S84" s="187"/>
      <c r="T84" s="187"/>
    </row>
    <row r="85" spans="1:20" s="129" customFormat="1" ht="21" customHeight="1">
      <c r="A85" s="127" t="s">
        <v>277</v>
      </c>
      <c r="B85" s="37"/>
      <c r="C85" s="37"/>
      <c r="D85" s="36" t="s">
        <v>51</v>
      </c>
      <c r="E85" s="47">
        <f>E86</f>
        <v>325042800</v>
      </c>
      <c r="F85" s="47">
        <f aca="true" t="shared" si="26" ref="F85:P85">F86</f>
        <v>325042800</v>
      </c>
      <c r="G85" s="47">
        <f t="shared" si="26"/>
        <v>1219700</v>
      </c>
      <c r="H85" s="47">
        <f t="shared" si="26"/>
        <v>23500</v>
      </c>
      <c r="I85" s="47">
        <f t="shared" si="26"/>
        <v>0</v>
      </c>
      <c r="J85" s="47">
        <f t="shared" si="26"/>
        <v>47180749</v>
      </c>
      <c r="K85" s="47">
        <f t="shared" si="26"/>
        <v>16983749</v>
      </c>
      <c r="L85" s="47">
        <f t="shared" si="26"/>
        <v>0</v>
      </c>
      <c r="M85" s="47">
        <f t="shared" si="26"/>
        <v>0</v>
      </c>
      <c r="N85" s="47">
        <f t="shared" si="26"/>
        <v>30197000</v>
      </c>
      <c r="O85" s="47">
        <f t="shared" si="26"/>
        <v>30197000</v>
      </c>
      <c r="P85" s="47">
        <f t="shared" si="26"/>
        <v>372223549</v>
      </c>
      <c r="Q85" s="258"/>
      <c r="R85" s="185"/>
      <c r="S85" s="185"/>
      <c r="T85" s="185"/>
    </row>
    <row r="86" spans="1:20" s="132" customFormat="1" ht="18.75" customHeight="1">
      <c r="A86" s="130" t="s">
        <v>278</v>
      </c>
      <c r="B86" s="144"/>
      <c r="C86" s="144"/>
      <c r="D86" s="143" t="s">
        <v>51</v>
      </c>
      <c r="E86" s="87">
        <f aca="true" t="shared" si="27" ref="E86:P86">E88+E89+E91+E93+E95+E97+E103+E109+E115</f>
        <v>325042800</v>
      </c>
      <c r="F86" s="87">
        <f t="shared" si="27"/>
        <v>325042800</v>
      </c>
      <c r="G86" s="87">
        <f t="shared" si="27"/>
        <v>1219700</v>
      </c>
      <c r="H86" s="87">
        <f t="shared" si="27"/>
        <v>23500</v>
      </c>
      <c r="I86" s="87">
        <f t="shared" si="27"/>
        <v>0</v>
      </c>
      <c r="J86" s="87">
        <f t="shared" si="27"/>
        <v>47180749</v>
      </c>
      <c r="K86" s="87">
        <f t="shared" si="27"/>
        <v>16983749</v>
      </c>
      <c r="L86" s="87">
        <f t="shared" si="27"/>
        <v>0</v>
      </c>
      <c r="M86" s="87">
        <f t="shared" si="27"/>
        <v>0</v>
      </c>
      <c r="N86" s="87">
        <f t="shared" si="27"/>
        <v>30197000</v>
      </c>
      <c r="O86" s="87">
        <f t="shared" si="27"/>
        <v>30197000</v>
      </c>
      <c r="P86" s="87">
        <f t="shared" si="27"/>
        <v>372223549</v>
      </c>
      <c r="Q86" s="258"/>
      <c r="R86" s="194"/>
      <c r="S86" s="194"/>
      <c r="T86" s="194"/>
    </row>
    <row r="87" spans="1:20" s="132" customFormat="1" ht="18.75" customHeight="1">
      <c r="A87" s="130"/>
      <c r="B87" s="144"/>
      <c r="C87" s="144"/>
      <c r="D87" s="143" t="s">
        <v>416</v>
      </c>
      <c r="E87" s="87">
        <f aca="true" t="shared" si="28" ref="E87:P87">E90+E92+E94+E96+E98+E104+E110</f>
        <v>239920600</v>
      </c>
      <c r="F87" s="87">
        <f t="shared" si="28"/>
        <v>239920600</v>
      </c>
      <c r="G87" s="87">
        <f t="shared" si="28"/>
        <v>0</v>
      </c>
      <c r="H87" s="87">
        <f t="shared" si="28"/>
        <v>0</v>
      </c>
      <c r="I87" s="87">
        <f t="shared" si="28"/>
        <v>0</v>
      </c>
      <c r="J87" s="87">
        <f t="shared" si="28"/>
        <v>0</v>
      </c>
      <c r="K87" s="87">
        <f t="shared" si="28"/>
        <v>0</v>
      </c>
      <c r="L87" s="87">
        <f t="shared" si="28"/>
        <v>0</v>
      </c>
      <c r="M87" s="87">
        <f t="shared" si="28"/>
        <v>0</v>
      </c>
      <c r="N87" s="87">
        <f t="shared" si="28"/>
        <v>0</v>
      </c>
      <c r="O87" s="87">
        <f t="shared" si="28"/>
        <v>0</v>
      </c>
      <c r="P87" s="87">
        <f t="shared" si="28"/>
        <v>239920600</v>
      </c>
      <c r="Q87" s="258"/>
      <c r="R87" s="186"/>
      <c r="S87" s="186"/>
      <c r="T87" s="186"/>
    </row>
    <row r="88" spans="1:20" s="4" customFormat="1" ht="45">
      <c r="A88" s="88" t="s">
        <v>279</v>
      </c>
      <c r="B88" s="88" t="str">
        <f>'дод. 4'!A14</f>
        <v>0160</v>
      </c>
      <c r="C88" s="88" t="str">
        <f>'дод. 4'!B14</f>
        <v>0111</v>
      </c>
      <c r="D88" s="89" t="str">
        <f>'дод. 4'!C14</f>
        <v>Керівництво і управління у відповідній сфері у містах (місті Києві), селищах, селах, об’єднаних територіальних громадах</v>
      </c>
      <c r="E88" s="90">
        <f aca="true" t="shared" si="29" ref="E88:E96">F88+I88</f>
        <v>1572100</v>
      </c>
      <c r="F88" s="90">
        <f>1600900-28800</f>
        <v>1572100</v>
      </c>
      <c r="G88" s="90">
        <v>1219700</v>
      </c>
      <c r="H88" s="90">
        <v>23500</v>
      </c>
      <c r="I88" s="90"/>
      <c r="J88" s="90">
        <f aca="true" t="shared" si="30" ref="J88:J96">K88+N88</f>
        <v>0</v>
      </c>
      <c r="K88" s="90"/>
      <c r="L88" s="90"/>
      <c r="M88" s="90"/>
      <c r="N88" s="90">
        <f>20500-20500</f>
        <v>0</v>
      </c>
      <c r="O88" s="90">
        <f>20500-20500</f>
        <v>0</v>
      </c>
      <c r="P88" s="90">
        <f aca="true" t="shared" si="31" ref="P88:P96">E88+J88</f>
        <v>1572100</v>
      </c>
      <c r="Q88" s="258"/>
      <c r="R88" s="187"/>
      <c r="S88" s="187"/>
      <c r="T88" s="187"/>
    </row>
    <row r="89" spans="1:20" s="4" customFormat="1" ht="31.5" customHeight="1">
      <c r="A89" s="88" t="s">
        <v>280</v>
      </c>
      <c r="B89" s="88" t="str">
        <f>'дод. 4'!A35</f>
        <v>2010</v>
      </c>
      <c r="C89" s="88" t="str">
        <f>'дод. 4'!B35</f>
        <v>0731</v>
      </c>
      <c r="D89" s="122" t="str">
        <f>'дод. 4'!C35</f>
        <v>Багатопрофільна стаціонарна медична допомога населенню</v>
      </c>
      <c r="E89" s="90">
        <f t="shared" si="29"/>
        <v>227372854</v>
      </c>
      <c r="F89" s="90">
        <v>227372854</v>
      </c>
      <c r="G89" s="90"/>
      <c r="H89" s="90"/>
      <c r="I89" s="90"/>
      <c r="J89" s="90">
        <f t="shared" si="30"/>
        <v>31668360</v>
      </c>
      <c r="K89" s="90">
        <f>11318360</f>
        <v>11318360</v>
      </c>
      <c r="L89" s="90"/>
      <c r="M89" s="90"/>
      <c r="N89" s="90">
        <f>20000000+350000</f>
        <v>20350000</v>
      </c>
      <c r="O89" s="90">
        <f>20000000+350000</f>
        <v>20350000</v>
      </c>
      <c r="P89" s="90">
        <f t="shared" si="31"/>
        <v>259041214</v>
      </c>
      <c r="Q89" s="258"/>
      <c r="R89" s="187"/>
      <c r="S89" s="187"/>
      <c r="T89" s="187"/>
    </row>
    <row r="90" spans="1:20" s="4" customFormat="1" ht="15">
      <c r="A90" s="88"/>
      <c r="B90" s="100"/>
      <c r="C90" s="100"/>
      <c r="D90" s="89" t="s">
        <v>416</v>
      </c>
      <c r="E90" s="90">
        <f t="shared" si="29"/>
        <v>156832009</v>
      </c>
      <c r="F90" s="90">
        <v>156832009</v>
      </c>
      <c r="G90" s="87"/>
      <c r="H90" s="90"/>
      <c r="I90" s="90"/>
      <c r="J90" s="90">
        <f t="shared" si="30"/>
        <v>0</v>
      </c>
      <c r="K90" s="90"/>
      <c r="L90" s="90"/>
      <c r="M90" s="90"/>
      <c r="N90" s="90"/>
      <c r="O90" s="90"/>
      <c r="P90" s="90">
        <f t="shared" si="31"/>
        <v>156832009</v>
      </c>
      <c r="Q90" s="258"/>
      <c r="R90" s="187"/>
      <c r="S90" s="187"/>
      <c r="T90" s="187"/>
    </row>
    <row r="91" spans="1:20" s="4" customFormat="1" ht="36.75" customHeight="1">
      <c r="A91" s="88" t="s">
        <v>289</v>
      </c>
      <c r="B91" s="88" t="str">
        <f>'дод. 4'!A37</f>
        <v>2030</v>
      </c>
      <c r="C91" s="88" t="str">
        <f>'дод. 4'!B37</f>
        <v>0733</v>
      </c>
      <c r="D91" s="122" t="str">
        <f>'дод. 4'!C37</f>
        <v>Лікарсько-акушерська допомога вагітним, породіллям та новонародженим</v>
      </c>
      <c r="E91" s="90">
        <f t="shared" si="29"/>
        <v>34579826</v>
      </c>
      <c r="F91" s="90">
        <f>34553891+25935</f>
        <v>34579826</v>
      </c>
      <c r="G91" s="90"/>
      <c r="H91" s="90"/>
      <c r="I91" s="90"/>
      <c r="J91" s="90">
        <f t="shared" si="30"/>
        <v>27300</v>
      </c>
      <c r="K91" s="90">
        <v>27300</v>
      </c>
      <c r="L91" s="90"/>
      <c r="M91" s="90"/>
      <c r="N91" s="90"/>
      <c r="O91" s="90"/>
      <c r="P91" s="90">
        <f t="shared" si="31"/>
        <v>34607126</v>
      </c>
      <c r="Q91" s="258"/>
      <c r="R91" s="187"/>
      <c r="S91" s="187"/>
      <c r="T91" s="187"/>
    </row>
    <row r="92" spans="1:20" s="4" customFormat="1" ht="19.5" customHeight="1">
      <c r="A92" s="88"/>
      <c r="B92" s="100"/>
      <c r="C92" s="100"/>
      <c r="D92" s="89" t="s">
        <v>416</v>
      </c>
      <c r="E92" s="90">
        <f t="shared" si="29"/>
        <v>24119993</v>
      </c>
      <c r="F92" s="90">
        <v>24119993</v>
      </c>
      <c r="G92" s="90"/>
      <c r="H92" s="90"/>
      <c r="I92" s="90"/>
      <c r="J92" s="90">
        <f t="shared" si="30"/>
        <v>0</v>
      </c>
      <c r="K92" s="90"/>
      <c r="L92" s="90"/>
      <c r="M92" s="90"/>
      <c r="N92" s="90"/>
      <c r="O92" s="90"/>
      <c r="P92" s="90">
        <f t="shared" si="31"/>
        <v>24119993</v>
      </c>
      <c r="Q92" s="258"/>
      <c r="R92" s="187"/>
      <c r="S92" s="187"/>
      <c r="T92" s="187"/>
    </row>
    <row r="93" spans="1:20" s="4" customFormat="1" ht="33.75" customHeight="1">
      <c r="A93" s="98" t="s">
        <v>288</v>
      </c>
      <c r="B93" s="98" t="str">
        <f>'дод. 4'!A39</f>
        <v>2080</v>
      </c>
      <c r="C93" s="98" t="str">
        <f>'дод. 4'!B39</f>
        <v>0721</v>
      </c>
      <c r="D93" s="121" t="str">
        <f>'дод. 4'!C39</f>
        <v>Амбулаторно-поліклінічна допомога населенню, крім первинної медичної допомоги</v>
      </c>
      <c r="E93" s="90">
        <f t="shared" si="29"/>
        <v>1039928</v>
      </c>
      <c r="F93" s="90">
        <v>1039928</v>
      </c>
      <c r="G93" s="90"/>
      <c r="H93" s="90"/>
      <c r="I93" s="90"/>
      <c r="J93" s="90">
        <f t="shared" si="30"/>
        <v>412100</v>
      </c>
      <c r="K93" s="90">
        <v>412100</v>
      </c>
      <c r="L93" s="90"/>
      <c r="M93" s="90"/>
      <c r="N93" s="90"/>
      <c r="O93" s="90"/>
      <c r="P93" s="90">
        <f t="shared" si="31"/>
        <v>1452028</v>
      </c>
      <c r="Q93" s="258"/>
      <c r="R93" s="187"/>
      <c r="S93" s="187"/>
      <c r="T93" s="187"/>
    </row>
    <row r="94" spans="1:20" s="4" customFormat="1" ht="15" customHeight="1">
      <c r="A94" s="98"/>
      <c r="B94" s="113"/>
      <c r="C94" s="113"/>
      <c r="D94" s="89" t="s">
        <v>416</v>
      </c>
      <c r="E94" s="90">
        <f t="shared" si="29"/>
        <v>925907</v>
      </c>
      <c r="F94" s="90">
        <v>925907</v>
      </c>
      <c r="G94" s="90"/>
      <c r="H94" s="90"/>
      <c r="I94" s="90"/>
      <c r="J94" s="90">
        <f t="shared" si="30"/>
        <v>0</v>
      </c>
      <c r="K94" s="90"/>
      <c r="L94" s="90"/>
      <c r="M94" s="90"/>
      <c r="N94" s="90"/>
      <c r="O94" s="90"/>
      <c r="P94" s="90">
        <f t="shared" si="31"/>
        <v>925907</v>
      </c>
      <c r="Q94" s="258"/>
      <c r="R94" s="187"/>
      <c r="S94" s="187"/>
      <c r="T94" s="187"/>
    </row>
    <row r="95" spans="1:20" s="4" customFormat="1" ht="24" customHeight="1">
      <c r="A95" s="88" t="s">
        <v>287</v>
      </c>
      <c r="B95" s="88" t="str">
        <f>'дод. 4'!A41</f>
        <v>2100</v>
      </c>
      <c r="C95" s="88" t="str">
        <f>'дод. 4'!B41</f>
        <v>0722</v>
      </c>
      <c r="D95" s="122" t="str">
        <f>'дод. 4'!C41</f>
        <v>Стоматологічна допомога населенню</v>
      </c>
      <c r="E95" s="90">
        <f t="shared" si="29"/>
        <v>5454842</v>
      </c>
      <c r="F95" s="90">
        <v>5454842</v>
      </c>
      <c r="G95" s="90"/>
      <c r="H95" s="90"/>
      <c r="I95" s="90"/>
      <c r="J95" s="90">
        <f t="shared" si="30"/>
        <v>5058989</v>
      </c>
      <c r="K95" s="90">
        <v>5058989</v>
      </c>
      <c r="L95" s="90"/>
      <c r="M95" s="90"/>
      <c r="N95" s="90"/>
      <c r="O95" s="90"/>
      <c r="P95" s="90">
        <f t="shared" si="31"/>
        <v>10513831</v>
      </c>
      <c r="Q95" s="258"/>
      <c r="R95" s="187"/>
      <c r="S95" s="187"/>
      <c r="T95" s="187"/>
    </row>
    <row r="96" spans="1:20" s="4" customFormat="1" ht="18" customHeight="1">
      <c r="A96" s="88"/>
      <c r="B96" s="100"/>
      <c r="C96" s="100"/>
      <c r="D96" s="89" t="s">
        <v>416</v>
      </c>
      <c r="E96" s="90">
        <f t="shared" si="29"/>
        <v>4325025</v>
      </c>
      <c r="F96" s="90">
        <v>4325025</v>
      </c>
      <c r="G96" s="90"/>
      <c r="H96" s="90"/>
      <c r="I96" s="90"/>
      <c r="J96" s="90">
        <f t="shared" si="30"/>
        <v>0</v>
      </c>
      <c r="K96" s="90"/>
      <c r="L96" s="90"/>
      <c r="M96" s="90"/>
      <c r="N96" s="90"/>
      <c r="O96" s="90"/>
      <c r="P96" s="90">
        <f t="shared" si="31"/>
        <v>4325025</v>
      </c>
      <c r="Q96" s="258"/>
      <c r="R96" s="187"/>
      <c r="S96" s="187"/>
      <c r="T96" s="187"/>
    </row>
    <row r="97" spans="1:20" s="4" customFormat="1" ht="16.5" customHeight="1">
      <c r="A97" s="88" t="s">
        <v>286</v>
      </c>
      <c r="B97" s="88" t="str">
        <f>'дод. 4'!A43</f>
        <v>2110</v>
      </c>
      <c r="C97" s="88">
        <f>'дод. 4'!B43</f>
        <v>0</v>
      </c>
      <c r="D97" s="122" t="str">
        <f>'дод. 4'!C43</f>
        <v>Первинна медична допомога населенню</v>
      </c>
      <c r="E97" s="90">
        <f>E99+E101</f>
        <v>36578306</v>
      </c>
      <c r="F97" s="90">
        <f aca="true" t="shared" si="32" ref="F97:P97">F99+F101</f>
        <v>36578306</v>
      </c>
      <c r="G97" s="90">
        <f t="shared" si="32"/>
        <v>0</v>
      </c>
      <c r="H97" s="90">
        <f t="shared" si="32"/>
        <v>0</v>
      </c>
      <c r="I97" s="90">
        <f t="shared" si="32"/>
        <v>0</v>
      </c>
      <c r="J97" s="90">
        <f t="shared" si="32"/>
        <v>167000</v>
      </c>
      <c r="K97" s="90">
        <f t="shared" si="32"/>
        <v>167000</v>
      </c>
      <c r="L97" s="90">
        <f t="shared" si="32"/>
        <v>0</v>
      </c>
      <c r="M97" s="90">
        <f t="shared" si="32"/>
        <v>0</v>
      </c>
      <c r="N97" s="90">
        <f t="shared" si="32"/>
        <v>0</v>
      </c>
      <c r="O97" s="90">
        <f t="shared" si="32"/>
        <v>0</v>
      </c>
      <c r="P97" s="90">
        <f t="shared" si="32"/>
        <v>36745306</v>
      </c>
      <c r="Q97" s="258"/>
      <c r="R97" s="188"/>
      <c r="S97" s="188"/>
      <c r="T97" s="188"/>
    </row>
    <row r="98" spans="1:20" s="4" customFormat="1" ht="19.5" customHeight="1">
      <c r="A98" s="88"/>
      <c r="B98" s="100"/>
      <c r="C98" s="100"/>
      <c r="D98" s="89" t="s">
        <v>416</v>
      </c>
      <c r="E98" s="90">
        <f>E100+E102</f>
        <v>35777500</v>
      </c>
      <c r="F98" s="90">
        <f aca="true" t="shared" si="33" ref="F98:P98">F100+F102</f>
        <v>35777500</v>
      </c>
      <c r="G98" s="90"/>
      <c r="H98" s="90">
        <f t="shared" si="33"/>
        <v>0</v>
      </c>
      <c r="I98" s="90">
        <f t="shared" si="33"/>
        <v>0</v>
      </c>
      <c r="J98" s="90">
        <f t="shared" si="33"/>
        <v>0</v>
      </c>
      <c r="K98" s="90">
        <f t="shared" si="33"/>
        <v>0</v>
      </c>
      <c r="L98" s="90">
        <f t="shared" si="33"/>
        <v>0</v>
      </c>
      <c r="M98" s="90">
        <f t="shared" si="33"/>
        <v>0</v>
      </c>
      <c r="N98" s="90">
        <f t="shared" si="33"/>
        <v>0</v>
      </c>
      <c r="O98" s="90">
        <f t="shared" si="33"/>
        <v>0</v>
      </c>
      <c r="P98" s="90">
        <f t="shared" si="33"/>
        <v>35777500</v>
      </c>
      <c r="Q98" s="258"/>
      <c r="R98" s="188"/>
      <c r="S98" s="188"/>
      <c r="T98" s="188"/>
    </row>
    <row r="99" spans="1:20" s="134" customFormat="1" ht="45">
      <c r="A99" s="91" t="s">
        <v>285</v>
      </c>
      <c r="B99" s="91" t="str">
        <f>'дод. 4'!A45</f>
        <v>2111</v>
      </c>
      <c r="C99" s="91" t="str">
        <f>'дод. 4'!B45</f>
        <v>0726</v>
      </c>
      <c r="D99" s="119" t="str">
        <f>'дод. 4'!C45</f>
        <v>Первинна медична допомога населенню, що надається центрами первинної медичної (медико-санітарної) допомоги</v>
      </c>
      <c r="E99" s="93">
        <f>F99+I99</f>
        <v>8672485</v>
      </c>
      <c r="F99" s="93">
        <v>8672485</v>
      </c>
      <c r="G99" s="93"/>
      <c r="H99" s="93"/>
      <c r="I99" s="93"/>
      <c r="J99" s="93">
        <f>K99+N99</f>
        <v>167000</v>
      </c>
      <c r="K99" s="93">
        <v>167000</v>
      </c>
      <c r="L99" s="93"/>
      <c r="M99" s="93"/>
      <c r="N99" s="93"/>
      <c r="O99" s="93"/>
      <c r="P99" s="93">
        <f>E99+J99</f>
        <v>8839485</v>
      </c>
      <c r="Q99" s="258"/>
      <c r="R99" s="189"/>
      <c r="S99" s="189"/>
      <c r="T99" s="189"/>
    </row>
    <row r="100" spans="1:20" s="134" customFormat="1" ht="15">
      <c r="A100" s="91"/>
      <c r="B100" s="101"/>
      <c r="C100" s="101"/>
      <c r="D100" s="92" t="s">
        <v>416</v>
      </c>
      <c r="E100" s="93">
        <f>F100+I100</f>
        <v>7871679</v>
      </c>
      <c r="F100" s="93">
        <v>7871679</v>
      </c>
      <c r="G100" s="93"/>
      <c r="H100" s="93"/>
      <c r="I100" s="93"/>
      <c r="J100" s="93">
        <f aca="true" t="shared" si="34" ref="J100:J115">K100+N100</f>
        <v>0</v>
      </c>
      <c r="K100" s="93"/>
      <c r="L100" s="93"/>
      <c r="M100" s="93"/>
      <c r="N100" s="93"/>
      <c r="O100" s="93"/>
      <c r="P100" s="93">
        <f>E100+J100</f>
        <v>7871679</v>
      </c>
      <c r="Q100" s="258"/>
      <c r="R100" s="189"/>
      <c r="S100" s="189"/>
      <c r="T100" s="189"/>
    </row>
    <row r="101" spans="1:20" s="134" customFormat="1" ht="45">
      <c r="A101" s="91" t="s">
        <v>587</v>
      </c>
      <c r="B101" s="91" t="str">
        <f>'дод. 4'!A47</f>
        <v>2113</v>
      </c>
      <c r="C101" s="91" t="str">
        <f>'дод. 4'!B47</f>
        <v>0721</v>
      </c>
      <c r="D101" s="119" t="str">
        <f>'дод. 4'!C47</f>
        <v>Первинна медична допомога населенню, що надається амбулаторно-поліклінічними закладами (відділеннями)</v>
      </c>
      <c r="E101" s="93">
        <f>F101+I101</f>
        <v>27905821</v>
      </c>
      <c r="F101" s="93">
        <v>27905821</v>
      </c>
      <c r="G101" s="93"/>
      <c r="H101" s="93"/>
      <c r="I101" s="93"/>
      <c r="J101" s="93">
        <f>K101+N101</f>
        <v>0</v>
      </c>
      <c r="K101" s="93"/>
      <c r="L101" s="93"/>
      <c r="M101" s="93"/>
      <c r="N101" s="93"/>
      <c r="O101" s="93"/>
      <c r="P101" s="93">
        <f>E101+J101</f>
        <v>27905821</v>
      </c>
      <c r="Q101" s="258"/>
      <c r="R101" s="189"/>
      <c r="S101" s="189"/>
      <c r="T101" s="189"/>
    </row>
    <row r="102" spans="1:20" s="134" customFormat="1" ht="15">
      <c r="A102" s="91"/>
      <c r="B102" s="101"/>
      <c r="C102" s="101"/>
      <c r="D102" s="92" t="s">
        <v>416</v>
      </c>
      <c r="E102" s="93">
        <f>F102+I102</f>
        <v>27905821</v>
      </c>
      <c r="F102" s="93">
        <v>27905821</v>
      </c>
      <c r="G102" s="93"/>
      <c r="H102" s="93"/>
      <c r="I102" s="93"/>
      <c r="J102" s="93">
        <f>K102+N102</f>
        <v>0</v>
      </c>
      <c r="K102" s="93"/>
      <c r="L102" s="93"/>
      <c r="M102" s="93"/>
      <c r="N102" s="93"/>
      <c r="O102" s="93"/>
      <c r="P102" s="93">
        <f>E102+J102</f>
        <v>27905821</v>
      </c>
      <c r="Q102" s="258"/>
      <c r="R102" s="189"/>
      <c r="S102" s="189"/>
      <c r="T102" s="189"/>
    </row>
    <row r="103" spans="1:20" s="4" customFormat="1" ht="30" customHeight="1">
      <c r="A103" s="94" t="s">
        <v>284</v>
      </c>
      <c r="B103" s="99">
        <f>'дод. 4'!A49</f>
        <v>2140</v>
      </c>
      <c r="C103" s="99">
        <f>'дод. 4'!B49</f>
        <v>0</v>
      </c>
      <c r="D103" s="165" t="str">
        <f>'дод. 4'!C49</f>
        <v>Програми і централізовані заходи у галузі охорони здоров’я</v>
      </c>
      <c r="E103" s="96">
        <f aca="true" t="shared" si="35" ref="E103:P103">E105+E107</f>
        <v>14043000</v>
      </c>
      <c r="F103" s="96">
        <f t="shared" si="35"/>
        <v>14043000</v>
      </c>
      <c r="G103" s="96">
        <f t="shared" si="35"/>
        <v>0</v>
      </c>
      <c r="H103" s="96">
        <f t="shared" si="35"/>
        <v>0</v>
      </c>
      <c r="I103" s="96">
        <f t="shared" si="35"/>
        <v>0</v>
      </c>
      <c r="J103" s="96">
        <f t="shared" si="35"/>
        <v>0</v>
      </c>
      <c r="K103" s="96">
        <f t="shared" si="35"/>
        <v>0</v>
      </c>
      <c r="L103" s="96">
        <f t="shared" si="35"/>
        <v>0</v>
      </c>
      <c r="M103" s="96">
        <f t="shared" si="35"/>
        <v>0</v>
      </c>
      <c r="N103" s="96">
        <f t="shared" si="35"/>
        <v>0</v>
      </c>
      <c r="O103" s="96">
        <f t="shared" si="35"/>
        <v>0</v>
      </c>
      <c r="P103" s="96">
        <f t="shared" si="35"/>
        <v>14043000</v>
      </c>
      <c r="Q103" s="258"/>
      <c r="R103" s="195"/>
      <c r="S103" s="195"/>
      <c r="T103" s="195"/>
    </row>
    <row r="104" spans="1:20" s="137" customFormat="1" ht="15" customHeight="1">
      <c r="A104" s="88"/>
      <c r="B104" s="99">
        <f>'дод. 4'!A50</f>
        <v>0</v>
      </c>
      <c r="C104" s="99">
        <f>'дод. 4'!B50</f>
        <v>0</v>
      </c>
      <c r="D104" s="165" t="str">
        <f>'дод. 4'!C50</f>
        <v>у т.ч. за рахунок субвенцій з держбюджету</v>
      </c>
      <c r="E104" s="96">
        <f aca="true" t="shared" si="36" ref="E104:P104">E106+E108</f>
        <v>14043000</v>
      </c>
      <c r="F104" s="96">
        <f t="shared" si="36"/>
        <v>14043000</v>
      </c>
      <c r="G104" s="96">
        <f t="shared" si="36"/>
        <v>0</v>
      </c>
      <c r="H104" s="96">
        <f t="shared" si="36"/>
        <v>0</v>
      </c>
      <c r="I104" s="96">
        <f t="shared" si="36"/>
        <v>0</v>
      </c>
      <c r="J104" s="96">
        <f t="shared" si="36"/>
        <v>0</v>
      </c>
      <c r="K104" s="96">
        <f t="shared" si="36"/>
        <v>0</v>
      </c>
      <c r="L104" s="96">
        <f t="shared" si="36"/>
        <v>0</v>
      </c>
      <c r="M104" s="96">
        <f t="shared" si="36"/>
        <v>0</v>
      </c>
      <c r="N104" s="96">
        <f t="shared" si="36"/>
        <v>0</v>
      </c>
      <c r="O104" s="96">
        <f t="shared" si="36"/>
        <v>0</v>
      </c>
      <c r="P104" s="96">
        <f t="shared" si="36"/>
        <v>14043000</v>
      </c>
      <c r="Q104" s="258"/>
      <c r="R104" s="195"/>
      <c r="S104" s="195"/>
      <c r="T104" s="195"/>
    </row>
    <row r="105" spans="1:20" s="134" customFormat="1" ht="32.25" customHeight="1">
      <c r="A105" s="91" t="s">
        <v>283</v>
      </c>
      <c r="B105" s="101">
        <f>'дод. 4'!A51</f>
        <v>2144</v>
      </c>
      <c r="C105" s="101" t="str">
        <f>'дод. 4'!B51</f>
        <v>0763</v>
      </c>
      <c r="D105" s="166" t="str">
        <f>'дод. 4'!C51</f>
        <v>Централізовані заходи з лікування хворих на цукровий та нецукровий діабет</v>
      </c>
      <c r="E105" s="93">
        <f>F105+I105</f>
        <v>7131500</v>
      </c>
      <c r="F105" s="93">
        <v>7131500</v>
      </c>
      <c r="G105" s="93"/>
      <c r="H105" s="93"/>
      <c r="I105" s="93"/>
      <c r="J105" s="93">
        <f t="shared" si="34"/>
        <v>0</v>
      </c>
      <c r="K105" s="93"/>
      <c r="L105" s="93"/>
      <c r="M105" s="93"/>
      <c r="N105" s="93"/>
      <c r="O105" s="93"/>
      <c r="P105" s="93">
        <f aca="true" t="shared" si="37" ref="P105:P115">E105+J105</f>
        <v>7131500</v>
      </c>
      <c r="Q105" s="258"/>
      <c r="R105" s="189"/>
      <c r="S105" s="189"/>
      <c r="T105" s="189"/>
    </row>
    <row r="106" spans="1:20" s="134" customFormat="1" ht="15" customHeight="1">
      <c r="A106" s="91"/>
      <c r="B106" s="101">
        <f>'дод. 4'!A52</f>
        <v>0</v>
      </c>
      <c r="C106" s="101">
        <f>'дод. 4'!B52</f>
        <v>0</v>
      </c>
      <c r="D106" s="166" t="str">
        <f>'дод. 4'!C52</f>
        <v>у т.ч. за рахунок субвенцій з держбюджету</v>
      </c>
      <c r="E106" s="93">
        <f>F106+I106</f>
        <v>7131500</v>
      </c>
      <c r="F106" s="93">
        <v>7131500</v>
      </c>
      <c r="G106" s="93"/>
      <c r="H106" s="93"/>
      <c r="I106" s="93"/>
      <c r="J106" s="93">
        <f t="shared" si="34"/>
        <v>0</v>
      </c>
      <c r="K106" s="93"/>
      <c r="L106" s="93"/>
      <c r="M106" s="93"/>
      <c r="N106" s="93"/>
      <c r="O106" s="93"/>
      <c r="P106" s="93">
        <f t="shared" si="37"/>
        <v>7131500</v>
      </c>
      <c r="Q106" s="258"/>
      <c r="R106" s="189"/>
      <c r="S106" s="189"/>
      <c r="T106" s="189"/>
    </row>
    <row r="107" spans="1:20" s="134" customFormat="1" ht="31.5" customHeight="1">
      <c r="A107" s="91" t="s">
        <v>516</v>
      </c>
      <c r="B107" s="101">
        <f>'дод. 4'!A53</f>
        <v>2146</v>
      </c>
      <c r="C107" s="101" t="str">
        <f>'дод. 4'!B53</f>
        <v>0763</v>
      </c>
      <c r="D107" s="166" t="str">
        <f>'дод. 4'!C53</f>
        <v>Відшкодування вартості лікарських засобів для лікування окремих захворювань</v>
      </c>
      <c r="E107" s="93">
        <f>F107+I107</f>
        <v>6911500</v>
      </c>
      <c r="F107" s="93">
        <v>6911500</v>
      </c>
      <c r="G107" s="93"/>
      <c r="H107" s="93"/>
      <c r="I107" s="93"/>
      <c r="J107" s="93">
        <f t="shared" si="34"/>
        <v>0</v>
      </c>
      <c r="K107" s="93"/>
      <c r="L107" s="93"/>
      <c r="M107" s="93"/>
      <c r="N107" s="93"/>
      <c r="O107" s="93"/>
      <c r="P107" s="93">
        <f t="shared" si="37"/>
        <v>6911500</v>
      </c>
      <c r="Q107" s="258">
        <v>18</v>
      </c>
      <c r="R107" s="189"/>
      <c r="S107" s="189"/>
      <c r="T107" s="189"/>
    </row>
    <row r="108" spans="1:20" s="134" customFormat="1" ht="15" customHeight="1">
      <c r="A108" s="91"/>
      <c r="B108" s="101">
        <f>'дод. 4'!A54</f>
        <v>0</v>
      </c>
      <c r="C108" s="101">
        <f>'дод. 4'!B54</f>
        <v>0</v>
      </c>
      <c r="D108" s="166" t="str">
        <f>'дод. 4'!C54</f>
        <v>у т.ч. за рахунок субвенцій з держбюджету</v>
      </c>
      <c r="E108" s="93">
        <f>F108+I108</f>
        <v>6911500</v>
      </c>
      <c r="F108" s="93">
        <v>6911500</v>
      </c>
      <c r="G108" s="93"/>
      <c r="H108" s="93"/>
      <c r="I108" s="93"/>
      <c r="J108" s="93">
        <f t="shared" si="34"/>
        <v>0</v>
      </c>
      <c r="K108" s="93"/>
      <c r="L108" s="93"/>
      <c r="M108" s="93"/>
      <c r="N108" s="93"/>
      <c r="O108" s="93"/>
      <c r="P108" s="93">
        <f t="shared" si="37"/>
        <v>6911500</v>
      </c>
      <c r="Q108" s="258"/>
      <c r="R108" s="189"/>
      <c r="S108" s="189"/>
      <c r="T108" s="189"/>
    </row>
    <row r="109" spans="1:20" s="4" customFormat="1" ht="35.25" customHeight="1">
      <c r="A109" s="94" t="s">
        <v>282</v>
      </c>
      <c r="B109" s="94" t="str">
        <f>'дод. 4'!A55</f>
        <v>2150</v>
      </c>
      <c r="C109" s="94">
        <f>'дод. 4'!B55</f>
        <v>0</v>
      </c>
      <c r="D109" s="120" t="str">
        <f>'дод. 4'!C55</f>
        <v>Інші програми, заклади та заходи у сфері охорони здоров’я</v>
      </c>
      <c r="E109" s="96">
        <f>E111+E113</f>
        <v>3933944</v>
      </c>
      <c r="F109" s="96">
        <f aca="true" t="shared" si="38" ref="F109:O109">F111+F113</f>
        <v>3933944</v>
      </c>
      <c r="G109" s="96">
        <f t="shared" si="38"/>
        <v>0</v>
      </c>
      <c r="H109" s="96">
        <f t="shared" si="38"/>
        <v>0</v>
      </c>
      <c r="I109" s="96">
        <f t="shared" si="38"/>
        <v>0</v>
      </c>
      <c r="J109" s="90">
        <f t="shared" si="34"/>
        <v>0</v>
      </c>
      <c r="K109" s="96">
        <f t="shared" si="38"/>
        <v>0</v>
      </c>
      <c r="L109" s="96">
        <f t="shared" si="38"/>
        <v>0</v>
      </c>
      <c r="M109" s="96">
        <f t="shared" si="38"/>
        <v>0</v>
      </c>
      <c r="N109" s="96">
        <f t="shared" si="38"/>
        <v>0</v>
      </c>
      <c r="O109" s="96">
        <f t="shared" si="38"/>
        <v>0</v>
      </c>
      <c r="P109" s="90">
        <f t="shared" si="37"/>
        <v>3933944</v>
      </c>
      <c r="Q109" s="258"/>
      <c r="R109" s="188"/>
      <c r="S109" s="188"/>
      <c r="T109" s="188"/>
    </row>
    <row r="110" spans="1:20" s="4" customFormat="1" ht="21.75" customHeight="1">
      <c r="A110" s="94"/>
      <c r="B110" s="99"/>
      <c r="C110" s="99"/>
      <c r="D110" s="95" t="s">
        <v>416</v>
      </c>
      <c r="E110" s="96">
        <f>E112+E114</f>
        <v>3897166</v>
      </c>
      <c r="F110" s="96">
        <f aca="true" t="shared" si="39" ref="F110:O110">F112+F114</f>
        <v>3897166</v>
      </c>
      <c r="G110" s="96">
        <f t="shared" si="39"/>
        <v>0</v>
      </c>
      <c r="H110" s="96">
        <f t="shared" si="39"/>
        <v>0</v>
      </c>
      <c r="I110" s="96">
        <f t="shared" si="39"/>
        <v>0</v>
      </c>
      <c r="J110" s="93">
        <f t="shared" si="34"/>
        <v>0</v>
      </c>
      <c r="K110" s="96">
        <f t="shared" si="39"/>
        <v>0</v>
      </c>
      <c r="L110" s="96">
        <f t="shared" si="39"/>
        <v>0</v>
      </c>
      <c r="M110" s="96">
        <f t="shared" si="39"/>
        <v>0</v>
      </c>
      <c r="N110" s="96">
        <f t="shared" si="39"/>
        <v>0</v>
      </c>
      <c r="O110" s="96">
        <f t="shared" si="39"/>
        <v>0</v>
      </c>
      <c r="P110" s="90">
        <f t="shared" si="37"/>
        <v>3897166</v>
      </c>
      <c r="Q110" s="258"/>
      <c r="R110" s="188"/>
      <c r="S110" s="188"/>
      <c r="T110" s="188"/>
    </row>
    <row r="111" spans="1:20" s="134" customFormat="1" ht="30" customHeight="1">
      <c r="A111" s="91" t="s">
        <v>485</v>
      </c>
      <c r="B111" s="135" t="str">
        <f>'дод. 4'!A57</f>
        <v>2151</v>
      </c>
      <c r="C111" s="135" t="str">
        <f>'дод. 4'!B57</f>
        <v>0763</v>
      </c>
      <c r="D111" s="119" t="str">
        <f>'дод. 4'!C57</f>
        <v>Забезпечення діяльності інших закладів у сфері охорони здоров’я</v>
      </c>
      <c r="E111" s="93">
        <f>F111+I111</f>
        <v>1975455</v>
      </c>
      <c r="F111" s="93">
        <f>1974877+578</f>
        <v>1975455</v>
      </c>
      <c r="G111" s="93"/>
      <c r="H111" s="93"/>
      <c r="I111" s="93"/>
      <c r="J111" s="93">
        <f t="shared" si="34"/>
        <v>0</v>
      </c>
      <c r="K111" s="93"/>
      <c r="L111" s="93"/>
      <c r="M111" s="93"/>
      <c r="N111" s="93"/>
      <c r="O111" s="93"/>
      <c r="P111" s="93">
        <f t="shared" si="37"/>
        <v>1975455</v>
      </c>
      <c r="Q111" s="258"/>
      <c r="R111" s="189"/>
      <c r="S111" s="189"/>
      <c r="T111" s="189"/>
    </row>
    <row r="112" spans="1:20" s="134" customFormat="1" ht="21.75" customHeight="1">
      <c r="A112" s="91"/>
      <c r="B112" s="135"/>
      <c r="C112" s="135"/>
      <c r="D112" s="92" t="s">
        <v>416</v>
      </c>
      <c r="E112" s="93">
        <f>F112+I112</f>
        <v>1938677</v>
      </c>
      <c r="F112" s="93">
        <v>1938677</v>
      </c>
      <c r="G112" s="93"/>
      <c r="H112" s="93"/>
      <c r="I112" s="93"/>
      <c r="J112" s="93">
        <f t="shared" si="34"/>
        <v>0</v>
      </c>
      <c r="K112" s="93"/>
      <c r="L112" s="93"/>
      <c r="M112" s="93"/>
      <c r="N112" s="93"/>
      <c r="O112" s="93"/>
      <c r="P112" s="93">
        <f t="shared" si="37"/>
        <v>1938677</v>
      </c>
      <c r="Q112" s="258"/>
      <c r="R112" s="189"/>
      <c r="S112" s="189"/>
      <c r="T112" s="189"/>
    </row>
    <row r="113" spans="1:20" s="134" customFormat="1" ht="20.25" customHeight="1">
      <c r="A113" s="91" t="s">
        <v>486</v>
      </c>
      <c r="B113" s="135" t="str">
        <f>'дод. 4'!A59</f>
        <v>2152</v>
      </c>
      <c r="C113" s="135" t="str">
        <f>'дод. 4'!B59</f>
        <v>0763</v>
      </c>
      <c r="D113" s="136" t="str">
        <f>'дод. 4'!C59</f>
        <v>Інші програми та заходи у сфері охорони здоров’я</v>
      </c>
      <c r="E113" s="93">
        <f>F113+I113</f>
        <v>1958489</v>
      </c>
      <c r="F113" s="93">
        <f>1958489+108000-108000</f>
        <v>1958489</v>
      </c>
      <c r="G113" s="93"/>
      <c r="H113" s="93"/>
      <c r="I113" s="93"/>
      <c r="J113" s="93">
        <f t="shared" si="34"/>
        <v>0</v>
      </c>
      <c r="K113" s="93"/>
      <c r="L113" s="93"/>
      <c r="M113" s="93"/>
      <c r="N113" s="93">
        <f>350000-350000</f>
        <v>0</v>
      </c>
      <c r="O113" s="93">
        <f>350000-350000</f>
        <v>0</v>
      </c>
      <c r="P113" s="93">
        <f t="shared" si="37"/>
        <v>1958489</v>
      </c>
      <c r="Q113" s="258"/>
      <c r="R113" s="189"/>
      <c r="S113" s="189"/>
      <c r="T113" s="189"/>
    </row>
    <row r="114" spans="1:20" s="134" customFormat="1" ht="21.75" customHeight="1">
      <c r="A114" s="91"/>
      <c r="B114" s="135"/>
      <c r="C114" s="135"/>
      <c r="D114" s="92" t="s">
        <v>416</v>
      </c>
      <c r="E114" s="93">
        <f>F114+I114</f>
        <v>1958489</v>
      </c>
      <c r="F114" s="93">
        <v>1958489</v>
      </c>
      <c r="G114" s="93"/>
      <c r="H114" s="93"/>
      <c r="I114" s="93"/>
      <c r="J114" s="93">
        <f t="shared" si="34"/>
        <v>0</v>
      </c>
      <c r="K114" s="93"/>
      <c r="L114" s="93"/>
      <c r="M114" s="93"/>
      <c r="N114" s="93"/>
      <c r="O114" s="93"/>
      <c r="P114" s="93">
        <f t="shared" si="37"/>
        <v>1958489</v>
      </c>
      <c r="Q114" s="258"/>
      <c r="R114" s="189"/>
      <c r="S114" s="189"/>
      <c r="T114" s="189"/>
    </row>
    <row r="115" spans="1:20" s="4" customFormat="1" ht="24" customHeight="1">
      <c r="A115" s="94" t="s">
        <v>281</v>
      </c>
      <c r="B115" s="94" t="str">
        <f>'дод. 4'!A183</f>
        <v>7640</v>
      </c>
      <c r="C115" s="94" t="str">
        <f>'дод. 4'!B183</f>
        <v>0470</v>
      </c>
      <c r="D115" s="120" t="str">
        <f>'дод. 4'!C183</f>
        <v>Заходи з енергозбереження</v>
      </c>
      <c r="E115" s="96">
        <f>F115+I115</f>
        <v>468000</v>
      </c>
      <c r="F115" s="96">
        <f>420000+48000</f>
        <v>468000</v>
      </c>
      <c r="G115" s="96"/>
      <c r="H115" s="96"/>
      <c r="I115" s="96"/>
      <c r="J115" s="93">
        <f t="shared" si="34"/>
        <v>9847000</v>
      </c>
      <c r="K115" s="96"/>
      <c r="L115" s="96"/>
      <c r="M115" s="96"/>
      <c r="N115" s="96">
        <f>6847000+3000000</f>
        <v>9847000</v>
      </c>
      <c r="O115" s="96">
        <f>6847000+3000000</f>
        <v>9847000</v>
      </c>
      <c r="P115" s="96">
        <f t="shared" si="37"/>
        <v>10315000</v>
      </c>
      <c r="Q115" s="258"/>
      <c r="R115" s="187"/>
      <c r="S115" s="187"/>
      <c r="T115" s="187"/>
    </row>
    <row r="116" spans="1:20" s="129" customFormat="1" ht="28.5">
      <c r="A116" s="127" t="s">
        <v>290</v>
      </c>
      <c r="B116" s="37"/>
      <c r="C116" s="37"/>
      <c r="D116" s="36" t="s">
        <v>70</v>
      </c>
      <c r="E116" s="47">
        <f>E117</f>
        <v>1259633381</v>
      </c>
      <c r="F116" s="47">
        <f aca="true" t="shared" si="40" ref="F116:P116">F117</f>
        <v>1259633381</v>
      </c>
      <c r="G116" s="47">
        <f t="shared" si="40"/>
        <v>41306277</v>
      </c>
      <c r="H116" s="47">
        <f t="shared" si="40"/>
        <v>1542626</v>
      </c>
      <c r="I116" s="47">
        <f t="shared" si="40"/>
        <v>0</v>
      </c>
      <c r="J116" s="47">
        <f t="shared" si="40"/>
        <v>1237400</v>
      </c>
      <c r="K116" s="47">
        <f t="shared" si="40"/>
        <v>57900</v>
      </c>
      <c r="L116" s="47">
        <f t="shared" si="40"/>
        <v>44700</v>
      </c>
      <c r="M116" s="47">
        <f t="shared" si="40"/>
        <v>0</v>
      </c>
      <c r="N116" s="47">
        <f t="shared" si="40"/>
        <v>1179500</v>
      </c>
      <c r="O116" s="47">
        <f t="shared" si="40"/>
        <v>1179500</v>
      </c>
      <c r="P116" s="47">
        <f t="shared" si="40"/>
        <v>1260870781</v>
      </c>
      <c r="Q116" s="258"/>
      <c r="R116" s="185"/>
      <c r="S116" s="185"/>
      <c r="T116" s="185"/>
    </row>
    <row r="117" spans="1:20" s="132" customFormat="1" ht="36" customHeight="1">
      <c r="A117" s="130" t="s">
        <v>291</v>
      </c>
      <c r="B117" s="144"/>
      <c r="C117" s="144"/>
      <c r="D117" s="143" t="s">
        <v>70</v>
      </c>
      <c r="E117" s="87">
        <f aca="true" t="shared" si="41" ref="E117:P117">E119+E132+E153+E167+E169+E173+E174+E177+E178+E181+E184+E185+E166+E170+E120+E126+E137+E154+E179</f>
        <v>1259633381</v>
      </c>
      <c r="F117" s="87">
        <f t="shared" si="41"/>
        <v>1259633381</v>
      </c>
      <c r="G117" s="87">
        <f t="shared" si="41"/>
        <v>41306277</v>
      </c>
      <c r="H117" s="87">
        <f t="shared" si="41"/>
        <v>1542626</v>
      </c>
      <c r="I117" s="87">
        <f t="shared" si="41"/>
        <v>0</v>
      </c>
      <c r="J117" s="87">
        <f t="shared" si="41"/>
        <v>1237400</v>
      </c>
      <c r="K117" s="87">
        <f t="shared" si="41"/>
        <v>57900</v>
      </c>
      <c r="L117" s="87">
        <f t="shared" si="41"/>
        <v>44700</v>
      </c>
      <c r="M117" s="87">
        <f t="shared" si="41"/>
        <v>0</v>
      </c>
      <c r="N117" s="87">
        <f t="shared" si="41"/>
        <v>1179500</v>
      </c>
      <c r="O117" s="87">
        <f t="shared" si="41"/>
        <v>1179500</v>
      </c>
      <c r="P117" s="87">
        <f t="shared" si="41"/>
        <v>1260870781</v>
      </c>
      <c r="Q117" s="258"/>
      <c r="R117" s="191"/>
      <c r="S117" s="191"/>
      <c r="T117" s="191"/>
    </row>
    <row r="118" spans="1:20" s="132" customFormat="1" ht="17.25" customHeight="1">
      <c r="A118" s="130"/>
      <c r="B118" s="144"/>
      <c r="C118" s="144"/>
      <c r="D118" s="143" t="s">
        <v>416</v>
      </c>
      <c r="E118" s="87">
        <f aca="true" t="shared" si="42" ref="E118:P118">E121+E127+E138+E155+E180</f>
        <v>1129786900</v>
      </c>
      <c r="F118" s="87">
        <f t="shared" si="42"/>
        <v>1129786900</v>
      </c>
      <c r="G118" s="87">
        <f t="shared" si="42"/>
        <v>0</v>
      </c>
      <c r="H118" s="87">
        <f t="shared" si="42"/>
        <v>0</v>
      </c>
      <c r="I118" s="87">
        <f t="shared" si="42"/>
        <v>0</v>
      </c>
      <c r="J118" s="87">
        <f t="shared" si="42"/>
        <v>0</v>
      </c>
      <c r="K118" s="87">
        <f t="shared" si="42"/>
        <v>0</v>
      </c>
      <c r="L118" s="87">
        <f t="shared" si="42"/>
        <v>0</v>
      </c>
      <c r="M118" s="87">
        <f t="shared" si="42"/>
        <v>0</v>
      </c>
      <c r="N118" s="87">
        <f t="shared" si="42"/>
        <v>0</v>
      </c>
      <c r="O118" s="87">
        <f t="shared" si="42"/>
        <v>0</v>
      </c>
      <c r="P118" s="87">
        <f t="shared" si="42"/>
        <v>1129786900</v>
      </c>
      <c r="Q118" s="258"/>
      <c r="R118" s="191"/>
      <c r="S118" s="191"/>
      <c r="T118" s="191"/>
    </row>
    <row r="119" spans="1:20" s="4" customFormat="1" ht="45">
      <c r="A119" s="88" t="s">
        <v>292</v>
      </c>
      <c r="B119" s="88" t="str">
        <f>'дод. 4'!A14</f>
        <v>0160</v>
      </c>
      <c r="C119" s="88" t="str">
        <f>'дод. 4'!B14</f>
        <v>0111</v>
      </c>
      <c r="D119" s="89" t="str">
        <f>'дод. 4'!C14</f>
        <v>Керівництво і управління у відповідній сфері у містах (місті Києві), селищах, селах, об’єднаних територіальних громадах</v>
      </c>
      <c r="E119" s="90">
        <f>F119+I119</f>
        <v>40183900</v>
      </c>
      <c r="F119" s="90">
        <f>40471900-288000</f>
        <v>40183900</v>
      </c>
      <c r="G119" s="90">
        <v>31781350</v>
      </c>
      <c r="H119" s="90">
        <v>676100</v>
      </c>
      <c r="I119" s="90"/>
      <c r="J119" s="90">
        <f>K119+N119</f>
        <v>572000</v>
      </c>
      <c r="K119" s="90"/>
      <c r="L119" s="90"/>
      <c r="M119" s="90"/>
      <c r="N119" s="90">
        <f>700000-128000</f>
        <v>572000</v>
      </c>
      <c r="O119" s="90">
        <f>700000-128000</f>
        <v>572000</v>
      </c>
      <c r="P119" s="90">
        <f>E119+J119</f>
        <v>40755900</v>
      </c>
      <c r="Q119" s="258"/>
      <c r="R119" s="187"/>
      <c r="S119" s="187"/>
      <c r="T119" s="187"/>
    </row>
    <row r="120" spans="1:20" s="4" customFormat="1" ht="69" customHeight="1">
      <c r="A120" s="88" t="s">
        <v>529</v>
      </c>
      <c r="B120" s="162" t="str">
        <f>'дод. 4'!A63</f>
        <v>3010</v>
      </c>
      <c r="C120" s="162">
        <f>'дод. 4'!B63</f>
        <v>0</v>
      </c>
      <c r="D120" s="122" t="str">
        <f>'дод. 4'!C63</f>
        <v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v>
      </c>
      <c r="E120" s="90">
        <f aca="true" t="shared" si="43" ref="E120:P120">E122+E124</f>
        <v>772232100</v>
      </c>
      <c r="F120" s="90">
        <f t="shared" si="43"/>
        <v>772232100</v>
      </c>
      <c r="G120" s="90">
        <f t="shared" si="43"/>
        <v>0</v>
      </c>
      <c r="H120" s="90">
        <f t="shared" si="43"/>
        <v>0</v>
      </c>
      <c r="I120" s="90">
        <f t="shared" si="43"/>
        <v>0</v>
      </c>
      <c r="J120" s="90">
        <f t="shared" si="43"/>
        <v>0</v>
      </c>
      <c r="K120" s="90">
        <f t="shared" si="43"/>
        <v>0</v>
      </c>
      <c r="L120" s="90">
        <f t="shared" si="43"/>
        <v>0</v>
      </c>
      <c r="M120" s="90">
        <f t="shared" si="43"/>
        <v>0</v>
      </c>
      <c r="N120" s="90">
        <f t="shared" si="43"/>
        <v>0</v>
      </c>
      <c r="O120" s="90">
        <f t="shared" si="43"/>
        <v>0</v>
      </c>
      <c r="P120" s="90">
        <f t="shared" si="43"/>
        <v>772232100</v>
      </c>
      <c r="Q120" s="258"/>
      <c r="R120" s="192"/>
      <c r="S120" s="192"/>
      <c r="T120" s="192"/>
    </row>
    <row r="121" spans="1:20" s="4" customFormat="1" ht="15">
      <c r="A121" s="88"/>
      <c r="B121" s="162">
        <f>'дод. 4'!A64</f>
        <v>0</v>
      </c>
      <c r="C121" s="162">
        <f>'дод. 4'!B64</f>
        <v>0</v>
      </c>
      <c r="D121" s="122" t="str">
        <f>'дод. 4'!C64</f>
        <v>у т.ч. за рахунок субвенцій з держбюджету</v>
      </c>
      <c r="E121" s="90">
        <f aca="true" t="shared" si="44" ref="E121:P121">E123+E125</f>
        <v>772232100</v>
      </c>
      <c r="F121" s="90">
        <f t="shared" si="44"/>
        <v>772232100</v>
      </c>
      <c r="G121" s="90">
        <f t="shared" si="44"/>
        <v>0</v>
      </c>
      <c r="H121" s="90">
        <f t="shared" si="44"/>
        <v>0</v>
      </c>
      <c r="I121" s="90">
        <f t="shared" si="44"/>
        <v>0</v>
      </c>
      <c r="J121" s="90">
        <f t="shared" si="44"/>
        <v>0</v>
      </c>
      <c r="K121" s="90">
        <f t="shared" si="44"/>
        <v>0</v>
      </c>
      <c r="L121" s="90">
        <f t="shared" si="44"/>
        <v>0</v>
      </c>
      <c r="M121" s="90">
        <f t="shared" si="44"/>
        <v>0</v>
      </c>
      <c r="N121" s="90">
        <f t="shared" si="44"/>
        <v>0</v>
      </c>
      <c r="O121" s="90">
        <f t="shared" si="44"/>
        <v>0</v>
      </c>
      <c r="P121" s="90">
        <f t="shared" si="44"/>
        <v>772232100</v>
      </c>
      <c r="Q121" s="258"/>
      <c r="R121" s="192"/>
      <c r="S121" s="192"/>
      <c r="T121" s="192"/>
    </row>
    <row r="122" spans="1:20" s="134" customFormat="1" ht="45" customHeight="1">
      <c r="A122" s="91" t="s">
        <v>530</v>
      </c>
      <c r="B122" s="167" t="str">
        <f>'дод. 4'!A65</f>
        <v>3011</v>
      </c>
      <c r="C122" s="167">
        <f>'дод. 4'!B65</f>
        <v>1030</v>
      </c>
      <c r="D122" s="119" t="str">
        <f>'дод. 4'!C65</f>
        <v>Надання пільг на оплату житлово-комунальних послуг окремим категоріям громадян відповідно до законодавства </v>
      </c>
      <c r="E122" s="93">
        <f>F122+I122</f>
        <v>66261200</v>
      </c>
      <c r="F122" s="93">
        <v>66261200</v>
      </c>
      <c r="G122" s="93"/>
      <c r="H122" s="93"/>
      <c r="I122" s="93"/>
      <c r="J122" s="93">
        <f>K122+N122</f>
        <v>0</v>
      </c>
      <c r="K122" s="93"/>
      <c r="L122" s="93"/>
      <c r="M122" s="93"/>
      <c r="N122" s="93"/>
      <c r="O122" s="93"/>
      <c r="P122" s="93">
        <f>E122+J122</f>
        <v>66261200</v>
      </c>
      <c r="Q122" s="258"/>
      <c r="R122" s="189"/>
      <c r="S122" s="189"/>
      <c r="T122" s="189"/>
    </row>
    <row r="123" spans="1:20" s="134" customFormat="1" ht="15">
      <c r="A123" s="91"/>
      <c r="B123" s="167">
        <f>'дод. 4'!A66</f>
        <v>0</v>
      </c>
      <c r="C123" s="167">
        <f>'дод. 4'!B66</f>
        <v>0</v>
      </c>
      <c r="D123" s="119" t="str">
        <f>'дод. 4'!C66</f>
        <v>у т.ч. за рахунок субвенцій з держбюджету</v>
      </c>
      <c r="E123" s="93">
        <f>F123+I123</f>
        <v>66261200</v>
      </c>
      <c r="F123" s="93">
        <v>66261200</v>
      </c>
      <c r="G123" s="93"/>
      <c r="H123" s="93"/>
      <c r="I123" s="93"/>
      <c r="J123" s="93">
        <f>K123+N123</f>
        <v>0</v>
      </c>
      <c r="K123" s="93"/>
      <c r="L123" s="93"/>
      <c r="M123" s="93"/>
      <c r="N123" s="93"/>
      <c r="O123" s="93"/>
      <c r="P123" s="93">
        <f>E123+J123</f>
        <v>66261200</v>
      </c>
      <c r="Q123" s="258"/>
      <c r="R123" s="189"/>
      <c r="S123" s="189"/>
      <c r="T123" s="189"/>
    </row>
    <row r="124" spans="1:20" s="134" customFormat="1" ht="37.5" customHeight="1">
      <c r="A124" s="91" t="s">
        <v>531</v>
      </c>
      <c r="B124" s="167" t="str">
        <f>'дод. 4'!A67</f>
        <v>3012</v>
      </c>
      <c r="C124" s="167">
        <f>'дод. 4'!B67</f>
        <v>1060</v>
      </c>
      <c r="D124" s="119" t="str">
        <f>'дод. 4'!C67</f>
        <v>Надання субсидій населенню для відшкодування витрат на оплату житлово-комунальних послуг</v>
      </c>
      <c r="E124" s="93">
        <f>F124+I124</f>
        <v>705970900</v>
      </c>
      <c r="F124" s="93">
        <v>705970900</v>
      </c>
      <c r="G124" s="93"/>
      <c r="H124" s="93"/>
      <c r="I124" s="93"/>
      <c r="J124" s="93">
        <f>K124+N124</f>
        <v>0</v>
      </c>
      <c r="K124" s="93"/>
      <c r="L124" s="93"/>
      <c r="M124" s="93"/>
      <c r="N124" s="93"/>
      <c r="O124" s="93"/>
      <c r="P124" s="93">
        <f>E124+J124</f>
        <v>705970900</v>
      </c>
      <c r="Q124" s="258"/>
      <c r="R124" s="189"/>
      <c r="S124" s="189"/>
      <c r="T124" s="189"/>
    </row>
    <row r="125" spans="1:20" s="134" customFormat="1" ht="15">
      <c r="A125" s="91"/>
      <c r="B125" s="167">
        <f>'дод. 4'!A68</f>
        <v>0</v>
      </c>
      <c r="C125" s="167">
        <f>'дод. 4'!B68</f>
        <v>0</v>
      </c>
      <c r="D125" s="119" t="str">
        <f>'дод. 4'!C68</f>
        <v>у т.ч. за рахунок субвенцій з держбюджету</v>
      </c>
      <c r="E125" s="93">
        <f>F125+I125</f>
        <v>705970900</v>
      </c>
      <c r="F125" s="93">
        <v>705970900</v>
      </c>
      <c r="G125" s="93"/>
      <c r="H125" s="93"/>
      <c r="I125" s="93"/>
      <c r="J125" s="93">
        <f>K125+N125</f>
        <v>0</v>
      </c>
      <c r="K125" s="93"/>
      <c r="L125" s="93"/>
      <c r="M125" s="93"/>
      <c r="N125" s="93"/>
      <c r="O125" s="93"/>
      <c r="P125" s="93">
        <f>E125+J125</f>
        <v>705970900</v>
      </c>
      <c r="Q125" s="258"/>
      <c r="R125" s="189"/>
      <c r="S125" s="189"/>
      <c r="T125" s="189"/>
    </row>
    <row r="126" spans="1:20" s="4" customFormat="1" ht="45" customHeight="1">
      <c r="A126" s="88" t="s">
        <v>532</v>
      </c>
      <c r="B126" s="162" t="str">
        <f>'дод. 4'!A69</f>
        <v>3020</v>
      </c>
      <c r="C126" s="162">
        <f>'дод. 4'!B69</f>
        <v>0</v>
      </c>
      <c r="D126" s="122" t="str">
        <f>'дод. 4'!C69</f>
        <v>Надання пільг та субсидій населенню на придбання твердого та рідкого пічного побутового палива і скрапленого газу</v>
      </c>
      <c r="E126" s="90">
        <f aca="true" t="shared" si="45" ref="E126:P126">E128+E130</f>
        <v>375400</v>
      </c>
      <c r="F126" s="90">
        <f t="shared" si="45"/>
        <v>375400</v>
      </c>
      <c r="G126" s="90">
        <f t="shared" si="45"/>
        <v>0</v>
      </c>
      <c r="H126" s="90">
        <f t="shared" si="45"/>
        <v>0</v>
      </c>
      <c r="I126" s="90">
        <f t="shared" si="45"/>
        <v>0</v>
      </c>
      <c r="J126" s="90">
        <f t="shared" si="45"/>
        <v>0</v>
      </c>
      <c r="K126" s="90">
        <f t="shared" si="45"/>
        <v>0</v>
      </c>
      <c r="L126" s="90">
        <f t="shared" si="45"/>
        <v>0</v>
      </c>
      <c r="M126" s="90">
        <f t="shared" si="45"/>
        <v>0</v>
      </c>
      <c r="N126" s="90">
        <f t="shared" si="45"/>
        <v>0</v>
      </c>
      <c r="O126" s="90">
        <f t="shared" si="45"/>
        <v>0</v>
      </c>
      <c r="P126" s="90">
        <f t="shared" si="45"/>
        <v>375400</v>
      </c>
      <c r="Q126" s="258"/>
      <c r="R126" s="192"/>
      <c r="S126" s="192"/>
      <c r="T126" s="192"/>
    </row>
    <row r="127" spans="1:20" s="4" customFormat="1" ht="15">
      <c r="A127" s="88"/>
      <c r="B127" s="162">
        <f>'дод. 4'!A70</f>
        <v>0</v>
      </c>
      <c r="C127" s="162">
        <f>'дод. 4'!B70</f>
        <v>0</v>
      </c>
      <c r="D127" s="122" t="str">
        <f>'дод. 4'!C70</f>
        <v>у т.ч. за рахунок субвенцій з держбюджету</v>
      </c>
      <c r="E127" s="90">
        <f aca="true" t="shared" si="46" ref="E127:P127">E129+E131</f>
        <v>375400</v>
      </c>
      <c r="F127" s="90">
        <f t="shared" si="46"/>
        <v>375400</v>
      </c>
      <c r="G127" s="90">
        <f t="shared" si="46"/>
        <v>0</v>
      </c>
      <c r="H127" s="90">
        <f t="shared" si="46"/>
        <v>0</v>
      </c>
      <c r="I127" s="90">
        <f t="shared" si="46"/>
        <v>0</v>
      </c>
      <c r="J127" s="90">
        <f t="shared" si="46"/>
        <v>0</v>
      </c>
      <c r="K127" s="90">
        <f t="shared" si="46"/>
        <v>0</v>
      </c>
      <c r="L127" s="90">
        <f t="shared" si="46"/>
        <v>0</v>
      </c>
      <c r="M127" s="90">
        <f t="shared" si="46"/>
        <v>0</v>
      </c>
      <c r="N127" s="90">
        <f t="shared" si="46"/>
        <v>0</v>
      </c>
      <c r="O127" s="90">
        <f t="shared" si="46"/>
        <v>0</v>
      </c>
      <c r="P127" s="90">
        <f t="shared" si="46"/>
        <v>375400</v>
      </c>
      <c r="Q127" s="258"/>
      <c r="R127" s="192"/>
      <c r="S127" s="192"/>
      <c r="T127" s="192"/>
    </row>
    <row r="128" spans="1:20" s="134" customFormat="1" ht="59.25" customHeight="1">
      <c r="A128" s="91" t="s">
        <v>533</v>
      </c>
      <c r="B128" s="167" t="str">
        <f>'дод. 4'!A71</f>
        <v>3021</v>
      </c>
      <c r="C128" s="167">
        <f>'дод. 4'!B71</f>
        <v>1030</v>
      </c>
      <c r="D128" s="119" t="str">
        <f>'дод. 4'!C71</f>
        <v>Надання пільг на придбання твердого та рідкого пічного побутового палива і скрапленого газу окремим категоріям громадян відповідно до законодавства</v>
      </c>
      <c r="E128" s="93">
        <f>F128+I128</f>
        <v>57630</v>
      </c>
      <c r="F128" s="93">
        <v>57630</v>
      </c>
      <c r="G128" s="93"/>
      <c r="H128" s="93"/>
      <c r="I128" s="93"/>
      <c r="J128" s="93">
        <f>K128+N128</f>
        <v>0</v>
      </c>
      <c r="K128" s="93"/>
      <c r="L128" s="93"/>
      <c r="M128" s="93"/>
      <c r="N128" s="93"/>
      <c r="O128" s="93"/>
      <c r="P128" s="93">
        <f>E128+J128</f>
        <v>57630</v>
      </c>
      <c r="Q128" s="258"/>
      <c r="R128" s="189"/>
      <c r="S128" s="189"/>
      <c r="T128" s="189"/>
    </row>
    <row r="129" spans="1:20" s="134" customFormat="1" ht="15">
      <c r="A129" s="91"/>
      <c r="B129" s="167">
        <f>'дод. 4'!A72</f>
        <v>0</v>
      </c>
      <c r="C129" s="167">
        <f>'дод. 4'!B72</f>
        <v>0</v>
      </c>
      <c r="D129" s="119" t="str">
        <f>'дод. 4'!C72</f>
        <v>у т.ч. за рахунок субвенцій з держбюджету</v>
      </c>
      <c r="E129" s="93">
        <f>F129+I129</f>
        <v>57630</v>
      </c>
      <c r="F129" s="93">
        <v>57630</v>
      </c>
      <c r="G129" s="93"/>
      <c r="H129" s="93"/>
      <c r="I129" s="93"/>
      <c r="J129" s="93">
        <f>K129+N129</f>
        <v>0</v>
      </c>
      <c r="K129" s="93"/>
      <c r="L129" s="93"/>
      <c r="M129" s="93"/>
      <c r="N129" s="93"/>
      <c r="O129" s="93"/>
      <c r="P129" s="93">
        <f>E129+J129</f>
        <v>57630</v>
      </c>
      <c r="Q129" s="258"/>
      <c r="R129" s="189"/>
      <c r="S129" s="189"/>
      <c r="T129" s="189"/>
    </row>
    <row r="130" spans="1:20" s="134" customFormat="1" ht="49.5" customHeight="1">
      <c r="A130" s="91" t="s">
        <v>534</v>
      </c>
      <c r="B130" s="167" t="str">
        <f>'дод. 4'!A73</f>
        <v>3022</v>
      </c>
      <c r="C130" s="167">
        <f>'дод. 4'!B73</f>
        <v>1060</v>
      </c>
      <c r="D130" s="119" t="str">
        <f>'дод. 4'!C73</f>
        <v>Надання субсидій населенню для відшкодування витрат на придбання твердого та рідкого пічного побутового палива і скрапленого газу</v>
      </c>
      <c r="E130" s="93">
        <f>F130+I130</f>
        <v>317770</v>
      </c>
      <c r="F130" s="93">
        <v>317770</v>
      </c>
      <c r="G130" s="93"/>
      <c r="H130" s="93"/>
      <c r="I130" s="93"/>
      <c r="J130" s="93">
        <f>K130+N130</f>
        <v>0</v>
      </c>
      <c r="K130" s="93"/>
      <c r="L130" s="93"/>
      <c r="M130" s="93"/>
      <c r="N130" s="93"/>
      <c r="O130" s="93"/>
      <c r="P130" s="93">
        <f>E130+J130</f>
        <v>317770</v>
      </c>
      <c r="Q130" s="258"/>
      <c r="R130" s="189"/>
      <c r="S130" s="189"/>
      <c r="T130" s="189"/>
    </row>
    <row r="131" spans="1:20" s="134" customFormat="1" ht="15">
      <c r="A131" s="91"/>
      <c r="B131" s="167">
        <f>'дод. 4'!A74</f>
        <v>0</v>
      </c>
      <c r="C131" s="167">
        <f>'дод. 4'!B74</f>
        <v>0</v>
      </c>
      <c r="D131" s="119" t="str">
        <f>'дод. 4'!C74</f>
        <v>у т.ч. за рахунок субвенцій з держбюджету</v>
      </c>
      <c r="E131" s="93">
        <f>F131+I131</f>
        <v>317770</v>
      </c>
      <c r="F131" s="93">
        <v>317770</v>
      </c>
      <c r="G131" s="93"/>
      <c r="H131" s="93"/>
      <c r="I131" s="93"/>
      <c r="J131" s="93">
        <f>K131+N131</f>
        <v>0</v>
      </c>
      <c r="K131" s="93"/>
      <c r="L131" s="93"/>
      <c r="M131" s="93"/>
      <c r="N131" s="93"/>
      <c r="O131" s="93"/>
      <c r="P131" s="93">
        <f>E131+J131</f>
        <v>317770</v>
      </c>
      <c r="Q131" s="258"/>
      <c r="R131" s="189"/>
      <c r="S131" s="189"/>
      <c r="T131" s="189"/>
    </row>
    <row r="132" spans="1:21" s="145" customFormat="1" ht="60">
      <c r="A132" s="94" t="s">
        <v>293</v>
      </c>
      <c r="B132" s="94" t="str">
        <f>'дод. 4'!A75</f>
        <v>3030</v>
      </c>
      <c r="C132" s="94">
        <f>'дод. 4'!B75</f>
        <v>0</v>
      </c>
      <c r="D132" s="120" t="str">
        <f>'дод. 4'!C75</f>
        <v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v>
      </c>
      <c r="E132" s="96">
        <f>E133+E134+E135+E136</f>
        <v>38674126</v>
      </c>
      <c r="F132" s="96">
        <f aca="true" t="shared" si="47" ref="F132:P132">F133+F134+F135+F136</f>
        <v>38674126</v>
      </c>
      <c r="G132" s="96">
        <f t="shared" si="47"/>
        <v>0</v>
      </c>
      <c r="H132" s="96">
        <f t="shared" si="47"/>
        <v>0</v>
      </c>
      <c r="I132" s="96">
        <f t="shared" si="47"/>
        <v>0</v>
      </c>
      <c r="J132" s="96">
        <f t="shared" si="47"/>
        <v>214000</v>
      </c>
      <c r="K132" s="96">
        <f t="shared" si="47"/>
        <v>0</v>
      </c>
      <c r="L132" s="96">
        <f t="shared" si="47"/>
        <v>0</v>
      </c>
      <c r="M132" s="96">
        <f t="shared" si="47"/>
        <v>0</v>
      </c>
      <c r="N132" s="96">
        <f t="shared" si="47"/>
        <v>214000</v>
      </c>
      <c r="O132" s="96">
        <f t="shared" si="47"/>
        <v>214000</v>
      </c>
      <c r="P132" s="96">
        <f t="shared" si="47"/>
        <v>38888126</v>
      </c>
      <c r="Q132" s="258"/>
      <c r="R132" s="188"/>
      <c r="S132" s="188"/>
      <c r="T132" s="188"/>
      <c r="U132" s="153"/>
    </row>
    <row r="133" spans="1:20" s="146" customFormat="1" ht="36" customHeight="1">
      <c r="A133" s="91" t="s">
        <v>294</v>
      </c>
      <c r="B133" s="91" t="str">
        <f>'дод. 4'!A76</f>
        <v>3031</v>
      </c>
      <c r="C133" s="91" t="str">
        <f>'дод. 4'!B76</f>
        <v>1030</v>
      </c>
      <c r="D133" s="119" t="str">
        <f>'дод. 4'!C76</f>
        <v>Надання інших пільг окремим категоріям громадян відповідно до законодавства</v>
      </c>
      <c r="E133" s="93">
        <f>F133+I133</f>
        <v>371502</v>
      </c>
      <c r="F133" s="93">
        <v>371502</v>
      </c>
      <c r="G133" s="93"/>
      <c r="H133" s="93"/>
      <c r="I133" s="93"/>
      <c r="J133" s="93">
        <f>K133+N133</f>
        <v>214000</v>
      </c>
      <c r="K133" s="93"/>
      <c r="L133" s="93"/>
      <c r="M133" s="93"/>
      <c r="N133" s="93">
        <v>214000</v>
      </c>
      <c r="O133" s="93">
        <v>214000</v>
      </c>
      <c r="P133" s="93">
        <f>E133+J133</f>
        <v>585502</v>
      </c>
      <c r="Q133" s="258"/>
      <c r="R133" s="189"/>
      <c r="S133" s="189"/>
      <c r="T133" s="189"/>
    </row>
    <row r="134" spans="1:20" s="146" customFormat="1" ht="30">
      <c r="A134" s="91" t="s">
        <v>295</v>
      </c>
      <c r="B134" s="91" t="str">
        <f>'дод. 4'!A77</f>
        <v>3032</v>
      </c>
      <c r="C134" s="91" t="str">
        <f>'дод. 4'!B77</f>
        <v>1070</v>
      </c>
      <c r="D134" s="119" t="str">
        <f>'дод. 4'!C77</f>
        <v>Надання пільг окремим категоріям громадян з оплати послуг зв'язку</v>
      </c>
      <c r="E134" s="93">
        <f>F134+I134</f>
        <v>1541402</v>
      </c>
      <c r="F134" s="93">
        <v>1541402</v>
      </c>
      <c r="G134" s="93"/>
      <c r="H134" s="93"/>
      <c r="I134" s="93"/>
      <c r="J134" s="93">
        <f>K134+N134</f>
        <v>0</v>
      </c>
      <c r="K134" s="93"/>
      <c r="L134" s="93"/>
      <c r="M134" s="93"/>
      <c r="N134" s="93"/>
      <c r="O134" s="93"/>
      <c r="P134" s="93">
        <f>E134+J134</f>
        <v>1541402</v>
      </c>
      <c r="Q134" s="258"/>
      <c r="R134" s="189"/>
      <c r="S134" s="189"/>
      <c r="T134" s="189"/>
    </row>
    <row r="135" spans="1:20" s="146" customFormat="1" ht="45">
      <c r="A135" s="91" t="s">
        <v>296</v>
      </c>
      <c r="B135" s="91" t="str">
        <f>'дод. 4'!A78</f>
        <v>3033</v>
      </c>
      <c r="C135" s="91" t="str">
        <f>'дод. 4'!B78</f>
        <v>1070</v>
      </c>
      <c r="D135" s="119" t="str">
        <f>'дод. 4'!C78</f>
        <v>Компенсаційні виплати на пільговий проїзд автомобільним транспортом окремим категоріям громадян</v>
      </c>
      <c r="E135" s="93">
        <f>F135+I135</f>
        <v>9567796</v>
      </c>
      <c r="F135" s="93">
        <f>9466596+101200</f>
        <v>9567796</v>
      </c>
      <c r="G135" s="93"/>
      <c r="H135" s="93"/>
      <c r="I135" s="93"/>
      <c r="J135" s="93">
        <f>K135+N135</f>
        <v>0</v>
      </c>
      <c r="K135" s="93"/>
      <c r="L135" s="93"/>
      <c r="M135" s="93"/>
      <c r="N135" s="93"/>
      <c r="O135" s="93"/>
      <c r="P135" s="93">
        <f>E135+J135</f>
        <v>9567796</v>
      </c>
      <c r="Q135" s="258"/>
      <c r="R135" s="189"/>
      <c r="S135" s="189"/>
      <c r="T135" s="189"/>
    </row>
    <row r="136" spans="1:20" s="146" customFormat="1" ht="39.75" customHeight="1">
      <c r="A136" s="91" t="s">
        <v>297</v>
      </c>
      <c r="B136" s="91" t="str">
        <f>'дод. 4'!A79</f>
        <v>3036</v>
      </c>
      <c r="C136" s="91" t="str">
        <f>'дод. 4'!B79</f>
        <v>1070</v>
      </c>
      <c r="D136" s="119" t="str">
        <f>'дод. 4'!C79</f>
        <v>Компенсаційні виплати на пільговий проїзд електротранспортом окремим категоріям громадян</v>
      </c>
      <c r="E136" s="93">
        <f>F136+I136</f>
        <v>27193426</v>
      </c>
      <c r="F136" s="93">
        <v>27193426</v>
      </c>
      <c r="G136" s="93"/>
      <c r="H136" s="93"/>
      <c r="I136" s="93"/>
      <c r="J136" s="93">
        <f>K136+N136</f>
        <v>0</v>
      </c>
      <c r="K136" s="93"/>
      <c r="L136" s="93"/>
      <c r="M136" s="93"/>
      <c r="N136" s="93"/>
      <c r="O136" s="93"/>
      <c r="P136" s="93">
        <f>E136+J136</f>
        <v>27193426</v>
      </c>
      <c r="Q136" s="258"/>
      <c r="R136" s="189"/>
      <c r="S136" s="189"/>
      <c r="T136" s="189"/>
    </row>
    <row r="137" spans="1:20" s="159" customFormat="1" ht="33" customHeight="1">
      <c r="A137" s="162" t="s">
        <v>551</v>
      </c>
      <c r="B137" s="162" t="str">
        <f>'дод. 4'!A80</f>
        <v>3040</v>
      </c>
      <c r="C137" s="162">
        <f>'дод. 4'!B80</f>
        <v>0</v>
      </c>
      <c r="D137" s="122" t="str">
        <f>'дод. 4'!C80</f>
        <v>Надання допомоги сім'ям з дітьми, малозабезпеченим сім’ям, тимчасової допомоги дітям</v>
      </c>
      <c r="E137" s="90">
        <f aca="true" t="shared" si="48" ref="E137:P137">E139+E141+E143+E145+E147+E149+E151</f>
        <v>257256180</v>
      </c>
      <c r="F137" s="90">
        <f t="shared" si="48"/>
        <v>257256180</v>
      </c>
      <c r="G137" s="90">
        <f t="shared" si="48"/>
        <v>0</v>
      </c>
      <c r="H137" s="90">
        <f t="shared" si="48"/>
        <v>0</v>
      </c>
      <c r="I137" s="90">
        <f t="shared" si="48"/>
        <v>0</v>
      </c>
      <c r="J137" s="90">
        <f t="shared" si="48"/>
        <v>0</v>
      </c>
      <c r="K137" s="90">
        <f t="shared" si="48"/>
        <v>0</v>
      </c>
      <c r="L137" s="90">
        <f t="shared" si="48"/>
        <v>0</v>
      </c>
      <c r="M137" s="90">
        <f t="shared" si="48"/>
        <v>0</v>
      </c>
      <c r="N137" s="90">
        <f t="shared" si="48"/>
        <v>0</v>
      </c>
      <c r="O137" s="90">
        <f t="shared" si="48"/>
        <v>0</v>
      </c>
      <c r="P137" s="90">
        <f t="shared" si="48"/>
        <v>257256180</v>
      </c>
      <c r="Q137" s="258"/>
      <c r="R137" s="192"/>
      <c r="S137" s="192"/>
      <c r="T137" s="192"/>
    </row>
    <row r="138" spans="1:20" s="159" customFormat="1" ht="19.5" customHeight="1">
      <c r="A138" s="162"/>
      <c r="B138" s="162">
        <f>'дод. 4'!A81</f>
        <v>0</v>
      </c>
      <c r="C138" s="162">
        <f>'дод. 4'!B81</f>
        <v>0</v>
      </c>
      <c r="D138" s="122" t="str">
        <f>'дод. 4'!C81</f>
        <v>у т.ч. за рахунок субвенцій з держбюджету</v>
      </c>
      <c r="E138" s="90">
        <f aca="true" t="shared" si="49" ref="E138:P138">E140+E142+E144+E146+E148+E150+E152</f>
        <v>257256180</v>
      </c>
      <c r="F138" s="90">
        <f t="shared" si="49"/>
        <v>257256180</v>
      </c>
      <c r="G138" s="90">
        <f t="shared" si="49"/>
        <v>0</v>
      </c>
      <c r="H138" s="90">
        <f t="shared" si="49"/>
        <v>0</v>
      </c>
      <c r="I138" s="90">
        <f t="shared" si="49"/>
        <v>0</v>
      </c>
      <c r="J138" s="90">
        <f t="shared" si="49"/>
        <v>0</v>
      </c>
      <c r="K138" s="90">
        <f t="shared" si="49"/>
        <v>0</v>
      </c>
      <c r="L138" s="90">
        <f t="shared" si="49"/>
        <v>0</v>
      </c>
      <c r="M138" s="90">
        <f t="shared" si="49"/>
        <v>0</v>
      </c>
      <c r="N138" s="90">
        <f t="shared" si="49"/>
        <v>0</v>
      </c>
      <c r="O138" s="90">
        <f t="shared" si="49"/>
        <v>0</v>
      </c>
      <c r="P138" s="90">
        <f t="shared" si="49"/>
        <v>257256180</v>
      </c>
      <c r="Q138" s="258"/>
      <c r="R138" s="192"/>
      <c r="S138" s="192"/>
      <c r="T138" s="192"/>
    </row>
    <row r="139" spans="1:20" s="146" customFormat="1" ht="27" customHeight="1">
      <c r="A139" s="167" t="s">
        <v>552</v>
      </c>
      <c r="B139" s="167" t="str">
        <f>'дод. 4'!A82</f>
        <v>3041</v>
      </c>
      <c r="C139" s="167" t="str">
        <f>'дод. 4'!B82</f>
        <v>1040</v>
      </c>
      <c r="D139" s="119" t="str">
        <f>'дод. 4'!C82</f>
        <v>Надання допомоги у зв'язку з вагітністю і пологами</v>
      </c>
      <c r="E139" s="93">
        <f aca="true" t="shared" si="50" ref="E139:E153">F139+I139</f>
        <v>3598320</v>
      </c>
      <c r="F139" s="93">
        <v>3598320</v>
      </c>
      <c r="G139" s="93"/>
      <c r="H139" s="93"/>
      <c r="I139" s="93"/>
      <c r="J139" s="93">
        <f>K139+N139</f>
        <v>0</v>
      </c>
      <c r="K139" s="93"/>
      <c r="L139" s="93"/>
      <c r="M139" s="93"/>
      <c r="N139" s="93"/>
      <c r="O139" s="93"/>
      <c r="P139" s="93">
        <f aca="true" t="shared" si="51" ref="P139:P153">E139+J139</f>
        <v>3598320</v>
      </c>
      <c r="Q139" s="258"/>
      <c r="R139" s="189"/>
      <c r="S139" s="189"/>
      <c r="T139" s="189"/>
    </row>
    <row r="140" spans="1:20" s="146" customFormat="1" ht="19.5" customHeight="1">
      <c r="A140" s="167"/>
      <c r="B140" s="167">
        <f>'дод. 4'!A83</f>
        <v>0</v>
      </c>
      <c r="C140" s="167">
        <f>'дод. 4'!B83</f>
        <v>0</v>
      </c>
      <c r="D140" s="119" t="str">
        <f>'дод. 4'!C83</f>
        <v>у т.ч. за рахунок субвенцій з держбюджету</v>
      </c>
      <c r="E140" s="93">
        <f t="shared" si="50"/>
        <v>3598320</v>
      </c>
      <c r="F140" s="93">
        <v>3598320</v>
      </c>
      <c r="G140" s="93"/>
      <c r="H140" s="93"/>
      <c r="I140" s="93"/>
      <c r="J140" s="93">
        <f aca="true" t="shared" si="52" ref="J140:J152">K140+N140</f>
        <v>0</v>
      </c>
      <c r="K140" s="93"/>
      <c r="L140" s="93"/>
      <c r="M140" s="93"/>
      <c r="N140" s="93"/>
      <c r="O140" s="93"/>
      <c r="P140" s="93">
        <f t="shared" si="51"/>
        <v>3598320</v>
      </c>
      <c r="Q140" s="258"/>
      <c r="R140" s="189"/>
      <c r="S140" s="189"/>
      <c r="T140" s="189"/>
    </row>
    <row r="141" spans="1:20" s="146" customFormat="1" ht="21" customHeight="1">
      <c r="A141" s="167" t="s">
        <v>553</v>
      </c>
      <c r="B141" s="167" t="str">
        <f>'дод. 4'!A84</f>
        <v>3042</v>
      </c>
      <c r="C141" s="167" t="str">
        <f>'дод. 4'!B84</f>
        <v>1040</v>
      </c>
      <c r="D141" s="119" t="str">
        <f>'дод. 4'!C84</f>
        <v>Надання допомоги при усиновленні дитини</v>
      </c>
      <c r="E141" s="93">
        <f t="shared" si="50"/>
        <v>392160</v>
      </c>
      <c r="F141" s="93">
        <v>392160</v>
      </c>
      <c r="G141" s="93"/>
      <c r="H141" s="93"/>
      <c r="I141" s="93"/>
      <c r="J141" s="93">
        <f t="shared" si="52"/>
        <v>0</v>
      </c>
      <c r="K141" s="93"/>
      <c r="L141" s="93"/>
      <c r="M141" s="93"/>
      <c r="N141" s="93"/>
      <c r="O141" s="93"/>
      <c r="P141" s="93">
        <f t="shared" si="51"/>
        <v>392160</v>
      </c>
      <c r="Q141" s="258">
        <v>19</v>
      </c>
      <c r="R141" s="189"/>
      <c r="S141" s="189"/>
      <c r="T141" s="189"/>
    </row>
    <row r="142" spans="1:20" s="146" customFormat="1" ht="19.5" customHeight="1">
      <c r="A142" s="167"/>
      <c r="B142" s="167">
        <f>'дод. 4'!A85</f>
        <v>0</v>
      </c>
      <c r="C142" s="167">
        <f>'дод. 4'!B85</f>
        <v>0</v>
      </c>
      <c r="D142" s="119" t="str">
        <f>'дод. 4'!C85</f>
        <v>у т.ч. за рахунок субвенцій з держбюджету</v>
      </c>
      <c r="E142" s="93">
        <f t="shared" si="50"/>
        <v>392160</v>
      </c>
      <c r="F142" s="93">
        <v>392160</v>
      </c>
      <c r="G142" s="93"/>
      <c r="H142" s="93"/>
      <c r="I142" s="93"/>
      <c r="J142" s="93">
        <f t="shared" si="52"/>
        <v>0</v>
      </c>
      <c r="K142" s="93"/>
      <c r="L142" s="93"/>
      <c r="M142" s="93"/>
      <c r="N142" s="93"/>
      <c r="O142" s="93"/>
      <c r="P142" s="93">
        <f t="shared" si="51"/>
        <v>392160</v>
      </c>
      <c r="Q142" s="258"/>
      <c r="R142" s="189"/>
      <c r="S142" s="189"/>
      <c r="T142" s="189"/>
    </row>
    <row r="143" spans="1:20" s="146" customFormat="1" ht="19.5" customHeight="1">
      <c r="A143" s="167" t="s">
        <v>554</v>
      </c>
      <c r="B143" s="167" t="str">
        <f>'дод. 4'!A86</f>
        <v>3043</v>
      </c>
      <c r="C143" s="167" t="str">
        <f>'дод. 4'!B86</f>
        <v>1040</v>
      </c>
      <c r="D143" s="119" t="str">
        <f>'дод. 4'!C86</f>
        <v>Надання допомоги при народженні дитини</v>
      </c>
      <c r="E143" s="93">
        <f t="shared" si="50"/>
        <v>134165700</v>
      </c>
      <c r="F143" s="93">
        <v>134165700</v>
      </c>
      <c r="G143" s="93"/>
      <c r="H143" s="93"/>
      <c r="I143" s="93"/>
      <c r="J143" s="93">
        <f t="shared" si="52"/>
        <v>0</v>
      </c>
      <c r="K143" s="93"/>
      <c r="L143" s="93"/>
      <c r="M143" s="93"/>
      <c r="N143" s="93"/>
      <c r="O143" s="93"/>
      <c r="P143" s="93">
        <f t="shared" si="51"/>
        <v>134165700</v>
      </c>
      <c r="Q143" s="258"/>
      <c r="R143" s="189"/>
      <c r="S143" s="189"/>
      <c r="T143" s="189"/>
    </row>
    <row r="144" spans="1:20" s="146" customFormat="1" ht="19.5" customHeight="1">
      <c r="A144" s="167"/>
      <c r="B144" s="167">
        <f>'дод. 4'!A87</f>
        <v>0</v>
      </c>
      <c r="C144" s="167">
        <f>'дод. 4'!B87</f>
        <v>0</v>
      </c>
      <c r="D144" s="119" t="str">
        <f>'дод. 4'!C87</f>
        <v>у т.ч. за рахунок субвенцій з держбюджету</v>
      </c>
      <c r="E144" s="93">
        <f t="shared" si="50"/>
        <v>134165700</v>
      </c>
      <c r="F144" s="93">
        <v>134165700</v>
      </c>
      <c r="G144" s="93"/>
      <c r="H144" s="93"/>
      <c r="I144" s="93"/>
      <c r="J144" s="93">
        <f t="shared" si="52"/>
        <v>0</v>
      </c>
      <c r="K144" s="93"/>
      <c r="L144" s="93"/>
      <c r="M144" s="93"/>
      <c r="N144" s="93"/>
      <c r="O144" s="93"/>
      <c r="P144" s="93">
        <f t="shared" si="51"/>
        <v>134165700</v>
      </c>
      <c r="Q144" s="258"/>
      <c r="R144" s="189"/>
      <c r="S144" s="189"/>
      <c r="T144" s="189"/>
    </row>
    <row r="145" spans="1:20" s="146" customFormat="1" ht="30.75" customHeight="1">
      <c r="A145" s="167" t="s">
        <v>555</v>
      </c>
      <c r="B145" s="167" t="str">
        <f>'дод. 4'!A88</f>
        <v>3044</v>
      </c>
      <c r="C145" s="167" t="str">
        <f>'дод. 4'!B88</f>
        <v>1040</v>
      </c>
      <c r="D145" s="119" t="str">
        <f>'дод. 4'!C88</f>
        <v>Надання допомоги на дітей, над якими встановлено опіку чи піклування</v>
      </c>
      <c r="E145" s="93">
        <f t="shared" si="50"/>
        <v>10265200</v>
      </c>
      <c r="F145" s="93">
        <v>10265200</v>
      </c>
      <c r="G145" s="93"/>
      <c r="H145" s="93"/>
      <c r="I145" s="93"/>
      <c r="J145" s="93">
        <f t="shared" si="52"/>
        <v>0</v>
      </c>
      <c r="K145" s="93"/>
      <c r="L145" s="93"/>
      <c r="M145" s="93"/>
      <c r="N145" s="93"/>
      <c r="O145" s="93"/>
      <c r="P145" s="93">
        <f t="shared" si="51"/>
        <v>10265200</v>
      </c>
      <c r="Q145" s="258"/>
      <c r="R145" s="189"/>
      <c r="S145" s="189"/>
      <c r="T145" s="189"/>
    </row>
    <row r="146" spans="1:20" s="146" customFormat="1" ht="19.5" customHeight="1">
      <c r="A146" s="167"/>
      <c r="B146" s="167">
        <f>'дод. 4'!A89</f>
        <v>0</v>
      </c>
      <c r="C146" s="167">
        <f>'дод. 4'!B89</f>
        <v>0</v>
      </c>
      <c r="D146" s="119" t="str">
        <f>'дод. 4'!C89</f>
        <v>у т.ч. за рахунок субвенцій з держбюджету</v>
      </c>
      <c r="E146" s="93">
        <f t="shared" si="50"/>
        <v>10265200</v>
      </c>
      <c r="F146" s="93">
        <v>10265200</v>
      </c>
      <c r="G146" s="93"/>
      <c r="H146" s="93"/>
      <c r="I146" s="93"/>
      <c r="J146" s="93">
        <f t="shared" si="52"/>
        <v>0</v>
      </c>
      <c r="K146" s="93"/>
      <c r="L146" s="93"/>
      <c r="M146" s="93"/>
      <c r="N146" s="93"/>
      <c r="O146" s="93"/>
      <c r="P146" s="93">
        <f t="shared" si="51"/>
        <v>10265200</v>
      </c>
      <c r="Q146" s="258"/>
      <c r="R146" s="189"/>
      <c r="S146" s="189"/>
      <c r="T146" s="189"/>
    </row>
    <row r="147" spans="1:20" s="146" customFormat="1" ht="22.5" customHeight="1">
      <c r="A147" s="167" t="s">
        <v>556</v>
      </c>
      <c r="B147" s="167" t="str">
        <f>'дод. 4'!A90</f>
        <v>3045</v>
      </c>
      <c r="C147" s="167" t="str">
        <f>'дод. 4'!B90</f>
        <v>1040</v>
      </c>
      <c r="D147" s="119" t="str">
        <f>'дод. 4'!C90</f>
        <v>Надання допомоги на дітей одиноким матерям</v>
      </c>
      <c r="E147" s="93">
        <f t="shared" si="50"/>
        <v>50558840</v>
      </c>
      <c r="F147" s="93">
        <v>50558840</v>
      </c>
      <c r="G147" s="93"/>
      <c r="H147" s="93"/>
      <c r="I147" s="93"/>
      <c r="J147" s="93">
        <f t="shared" si="52"/>
        <v>0</v>
      </c>
      <c r="K147" s="93"/>
      <c r="L147" s="93"/>
      <c r="M147" s="93"/>
      <c r="N147" s="93"/>
      <c r="O147" s="93"/>
      <c r="P147" s="93">
        <f t="shared" si="51"/>
        <v>50558840</v>
      </c>
      <c r="Q147" s="258"/>
      <c r="R147" s="189"/>
      <c r="S147" s="189"/>
      <c r="T147" s="189"/>
    </row>
    <row r="148" spans="1:20" s="146" customFormat="1" ht="19.5" customHeight="1">
      <c r="A148" s="167"/>
      <c r="B148" s="167">
        <f>'дод. 4'!A91</f>
        <v>0</v>
      </c>
      <c r="C148" s="167">
        <f>'дод. 4'!B91</f>
        <v>0</v>
      </c>
      <c r="D148" s="119" t="str">
        <f>'дод. 4'!C91</f>
        <v>у т.ч. за рахунок субвенцій з держбюджету</v>
      </c>
      <c r="E148" s="93">
        <f t="shared" si="50"/>
        <v>50558840</v>
      </c>
      <c r="F148" s="93">
        <v>50558840</v>
      </c>
      <c r="G148" s="93"/>
      <c r="H148" s="93"/>
      <c r="I148" s="93"/>
      <c r="J148" s="93">
        <f t="shared" si="52"/>
        <v>0</v>
      </c>
      <c r="K148" s="93"/>
      <c r="L148" s="93"/>
      <c r="M148" s="93"/>
      <c r="N148" s="93"/>
      <c r="O148" s="93"/>
      <c r="P148" s="93">
        <f t="shared" si="51"/>
        <v>50558840</v>
      </c>
      <c r="Q148" s="258"/>
      <c r="R148" s="189"/>
      <c r="S148" s="189"/>
      <c r="T148" s="189"/>
    </row>
    <row r="149" spans="1:20" s="146" customFormat="1" ht="20.25" customHeight="1">
      <c r="A149" s="167" t="s">
        <v>557</v>
      </c>
      <c r="B149" s="167" t="str">
        <f>'дод. 4'!A92</f>
        <v>3046</v>
      </c>
      <c r="C149" s="167" t="str">
        <f>'дод. 4'!B92</f>
        <v>1040</v>
      </c>
      <c r="D149" s="119" t="str">
        <f>'дод. 4'!C92</f>
        <v>Надання тимчасової державної допомоги дітям</v>
      </c>
      <c r="E149" s="93">
        <f t="shared" si="50"/>
        <v>2245360</v>
      </c>
      <c r="F149" s="93">
        <v>2245360</v>
      </c>
      <c r="G149" s="93"/>
      <c r="H149" s="93"/>
      <c r="I149" s="93"/>
      <c r="J149" s="93">
        <f t="shared" si="52"/>
        <v>0</v>
      </c>
      <c r="K149" s="93"/>
      <c r="L149" s="93"/>
      <c r="M149" s="93"/>
      <c r="N149" s="93"/>
      <c r="O149" s="93"/>
      <c r="P149" s="93">
        <f t="shared" si="51"/>
        <v>2245360</v>
      </c>
      <c r="Q149" s="258"/>
      <c r="R149" s="189"/>
      <c r="S149" s="189"/>
      <c r="T149" s="189"/>
    </row>
    <row r="150" spans="1:20" s="146" customFormat="1" ht="19.5" customHeight="1">
      <c r="A150" s="167"/>
      <c r="B150" s="167">
        <f>'дод. 4'!A93</f>
        <v>0</v>
      </c>
      <c r="C150" s="167">
        <f>'дод. 4'!B93</f>
        <v>0</v>
      </c>
      <c r="D150" s="119" t="str">
        <f>'дод. 4'!C93</f>
        <v>у т.ч. за рахунок субвенцій з держбюджету</v>
      </c>
      <c r="E150" s="93">
        <f t="shared" si="50"/>
        <v>2245360</v>
      </c>
      <c r="F150" s="93">
        <v>2245360</v>
      </c>
      <c r="G150" s="93"/>
      <c r="H150" s="93"/>
      <c r="I150" s="93"/>
      <c r="J150" s="93">
        <f t="shared" si="52"/>
        <v>0</v>
      </c>
      <c r="K150" s="93"/>
      <c r="L150" s="93"/>
      <c r="M150" s="93"/>
      <c r="N150" s="93"/>
      <c r="O150" s="93"/>
      <c r="P150" s="93">
        <f t="shared" si="51"/>
        <v>2245360</v>
      </c>
      <c r="Q150" s="258"/>
      <c r="R150" s="189"/>
      <c r="S150" s="189"/>
      <c r="T150" s="189"/>
    </row>
    <row r="151" spans="1:20" s="146" customFormat="1" ht="31.5" customHeight="1">
      <c r="A151" s="167" t="s">
        <v>558</v>
      </c>
      <c r="B151" s="167" t="str">
        <f>'дод. 4'!A94</f>
        <v>3047</v>
      </c>
      <c r="C151" s="167" t="str">
        <f>'дод. 4'!B94</f>
        <v>1040</v>
      </c>
      <c r="D151" s="119" t="str">
        <f>'дод. 4'!C94</f>
        <v>Надання державної соціальної допомоги малозабезпеченим сім’ям</v>
      </c>
      <c r="E151" s="93">
        <f t="shared" si="50"/>
        <v>56030600</v>
      </c>
      <c r="F151" s="93">
        <v>56030600</v>
      </c>
      <c r="G151" s="93"/>
      <c r="H151" s="93"/>
      <c r="I151" s="93"/>
      <c r="J151" s="93">
        <f t="shared" si="52"/>
        <v>0</v>
      </c>
      <c r="K151" s="93"/>
      <c r="L151" s="93"/>
      <c r="M151" s="93"/>
      <c r="N151" s="93"/>
      <c r="O151" s="93"/>
      <c r="P151" s="93">
        <f t="shared" si="51"/>
        <v>56030600</v>
      </c>
      <c r="Q151" s="258"/>
      <c r="R151" s="189"/>
      <c r="S151" s="189"/>
      <c r="T151" s="189"/>
    </row>
    <row r="152" spans="1:20" s="146" customFormat="1" ht="19.5" customHeight="1">
      <c r="A152" s="167"/>
      <c r="B152" s="167">
        <f>'дод. 4'!A95</f>
        <v>0</v>
      </c>
      <c r="C152" s="167">
        <f>'дод. 4'!B95</f>
        <v>0</v>
      </c>
      <c r="D152" s="119" t="str">
        <f>'дод. 4'!C95</f>
        <v>у т.ч. за рахунок субвенцій з держбюджету</v>
      </c>
      <c r="E152" s="93">
        <f t="shared" si="50"/>
        <v>56030600</v>
      </c>
      <c r="F152" s="93">
        <v>56030600</v>
      </c>
      <c r="G152" s="93"/>
      <c r="H152" s="93"/>
      <c r="I152" s="93"/>
      <c r="J152" s="93">
        <f t="shared" si="52"/>
        <v>0</v>
      </c>
      <c r="K152" s="93"/>
      <c r="L152" s="93"/>
      <c r="M152" s="93"/>
      <c r="N152" s="93"/>
      <c r="O152" s="93"/>
      <c r="P152" s="93">
        <f t="shared" si="51"/>
        <v>56030600</v>
      </c>
      <c r="Q152" s="258"/>
      <c r="R152" s="189"/>
      <c r="S152" s="189"/>
      <c r="T152" s="189"/>
    </row>
    <row r="153" spans="1:20" s="4" customFormat="1" ht="30.75" customHeight="1">
      <c r="A153" s="94" t="s">
        <v>298</v>
      </c>
      <c r="B153" s="94" t="str">
        <f>'дод. 4'!A96</f>
        <v>3050</v>
      </c>
      <c r="C153" s="94" t="str">
        <f>'дод. 4'!B96</f>
        <v>1070</v>
      </c>
      <c r="D153" s="120" t="str">
        <f>'дод. 4'!C96</f>
        <v>Пільгове медичне обслуговування осіб, які постраждали внаслідок Чорнобильської катастрофи</v>
      </c>
      <c r="E153" s="96">
        <f t="shared" si="50"/>
        <v>1203435</v>
      </c>
      <c r="F153" s="96">
        <f>578335+625100</f>
        <v>1203435</v>
      </c>
      <c r="G153" s="96"/>
      <c r="H153" s="96"/>
      <c r="I153" s="96"/>
      <c r="J153" s="96">
        <f>K153+N153</f>
        <v>0</v>
      </c>
      <c r="K153" s="96"/>
      <c r="L153" s="96"/>
      <c r="M153" s="96"/>
      <c r="N153" s="96"/>
      <c r="O153" s="96"/>
      <c r="P153" s="96">
        <f t="shared" si="51"/>
        <v>1203435</v>
      </c>
      <c r="Q153" s="258"/>
      <c r="R153" s="187"/>
      <c r="S153" s="187"/>
      <c r="T153" s="187"/>
    </row>
    <row r="154" spans="1:20" s="4" customFormat="1" ht="138.75" customHeight="1">
      <c r="A154" s="94" t="s">
        <v>573</v>
      </c>
      <c r="B154" s="94" t="str">
        <f>'дод. 4'!A97</f>
        <v>3080</v>
      </c>
      <c r="C154" s="94">
        <f>'дод. 4'!B97</f>
        <v>0</v>
      </c>
      <c r="D154" s="89" t="s">
        <v>565</v>
      </c>
      <c r="E154" s="96">
        <f aca="true" t="shared" si="53" ref="E154:P154">E156+E158+E160+E162+E164</f>
        <v>97227520</v>
      </c>
      <c r="F154" s="96">
        <f t="shared" si="53"/>
        <v>97227520</v>
      </c>
      <c r="G154" s="96">
        <f t="shared" si="53"/>
        <v>0</v>
      </c>
      <c r="H154" s="96">
        <f t="shared" si="53"/>
        <v>0</v>
      </c>
      <c r="I154" s="96">
        <f t="shared" si="53"/>
        <v>0</v>
      </c>
      <c r="J154" s="96">
        <f t="shared" si="53"/>
        <v>0</v>
      </c>
      <c r="K154" s="96">
        <f t="shared" si="53"/>
        <v>0</v>
      </c>
      <c r="L154" s="96">
        <f t="shared" si="53"/>
        <v>0</v>
      </c>
      <c r="M154" s="96">
        <f t="shared" si="53"/>
        <v>0</v>
      </c>
      <c r="N154" s="96">
        <f t="shared" si="53"/>
        <v>0</v>
      </c>
      <c r="O154" s="96">
        <f t="shared" si="53"/>
        <v>0</v>
      </c>
      <c r="P154" s="96">
        <f t="shared" si="53"/>
        <v>97227520</v>
      </c>
      <c r="Q154" s="258"/>
      <c r="R154" s="195"/>
      <c r="S154" s="195"/>
      <c r="T154" s="195"/>
    </row>
    <row r="155" spans="1:20" s="4" customFormat="1" ht="24.75" customHeight="1">
      <c r="A155" s="94"/>
      <c r="B155" s="94">
        <f>'дод. 4'!A98</f>
        <v>0</v>
      </c>
      <c r="C155" s="94">
        <f>'дод. 4'!B98</f>
        <v>0</v>
      </c>
      <c r="D155" s="120" t="str">
        <f>'дод. 4'!C98</f>
        <v>у т.ч. за рахунок субвенцій з держбюджету</v>
      </c>
      <c r="E155" s="96">
        <f aca="true" t="shared" si="54" ref="E155:P155">E157+E159+E161+E163+E165</f>
        <v>97227520</v>
      </c>
      <c r="F155" s="96">
        <f t="shared" si="54"/>
        <v>97227520</v>
      </c>
      <c r="G155" s="96">
        <f t="shared" si="54"/>
        <v>0</v>
      </c>
      <c r="H155" s="96">
        <f t="shared" si="54"/>
        <v>0</v>
      </c>
      <c r="I155" s="96">
        <f t="shared" si="54"/>
        <v>0</v>
      </c>
      <c r="J155" s="96">
        <f t="shared" si="54"/>
        <v>0</v>
      </c>
      <c r="K155" s="96">
        <f t="shared" si="54"/>
        <v>0</v>
      </c>
      <c r="L155" s="96">
        <f t="shared" si="54"/>
        <v>0</v>
      </c>
      <c r="M155" s="96">
        <f t="shared" si="54"/>
        <v>0</v>
      </c>
      <c r="N155" s="96">
        <f t="shared" si="54"/>
        <v>0</v>
      </c>
      <c r="O155" s="96">
        <f t="shared" si="54"/>
        <v>0</v>
      </c>
      <c r="P155" s="96">
        <f t="shared" si="54"/>
        <v>97227520</v>
      </c>
      <c r="Q155" s="258"/>
      <c r="R155" s="195"/>
      <c r="S155" s="195"/>
      <c r="T155" s="195"/>
    </row>
    <row r="156" spans="1:20" s="134" customFormat="1" ht="35.25" customHeight="1">
      <c r="A156" s="91" t="s">
        <v>574</v>
      </c>
      <c r="B156" s="91" t="str">
        <f>'дод. 4'!A99</f>
        <v>3081</v>
      </c>
      <c r="C156" s="91" t="str">
        <f>'дод. 4'!B99</f>
        <v>1010</v>
      </c>
      <c r="D156" s="119" t="str">
        <f>'дод. 4'!C99</f>
        <v>Надання державної соціальної допомоги особам з інвалідністю з дитинства та дітям з інвалідністю</v>
      </c>
      <c r="E156" s="93">
        <f aca="true" t="shared" si="55" ref="E156:E166">F156+I156</f>
        <v>62044050</v>
      </c>
      <c r="F156" s="93">
        <v>62044050</v>
      </c>
      <c r="G156" s="93"/>
      <c r="H156" s="93"/>
      <c r="I156" s="93"/>
      <c r="J156" s="93">
        <f>K156+N156</f>
        <v>0</v>
      </c>
      <c r="K156" s="93"/>
      <c r="L156" s="93"/>
      <c r="M156" s="93"/>
      <c r="N156" s="93"/>
      <c r="O156" s="93"/>
      <c r="P156" s="93">
        <f aca="true" t="shared" si="56" ref="P156:P166">E156+J156</f>
        <v>62044050</v>
      </c>
      <c r="Q156" s="258"/>
      <c r="R156" s="189"/>
      <c r="S156" s="189"/>
      <c r="T156" s="189"/>
    </row>
    <row r="157" spans="1:20" s="134" customFormat="1" ht="25.5" customHeight="1">
      <c r="A157" s="91"/>
      <c r="B157" s="91">
        <f>'дод. 4'!A100</f>
        <v>0</v>
      </c>
      <c r="C157" s="91">
        <f>'дод. 4'!B100</f>
        <v>0</v>
      </c>
      <c r="D157" s="119" t="str">
        <f>'дод. 4'!C100</f>
        <v>у т.ч. за рахунок субвенцій з держбюджету</v>
      </c>
      <c r="E157" s="93">
        <f t="shared" si="55"/>
        <v>62044050</v>
      </c>
      <c r="F157" s="93">
        <v>62044050</v>
      </c>
      <c r="G157" s="93"/>
      <c r="H157" s="93"/>
      <c r="I157" s="93"/>
      <c r="J157" s="93">
        <f aca="true" t="shared" si="57" ref="J157:J165">K157+N157</f>
        <v>0</v>
      </c>
      <c r="K157" s="93"/>
      <c r="L157" s="93"/>
      <c r="M157" s="93"/>
      <c r="N157" s="93"/>
      <c r="O157" s="93"/>
      <c r="P157" s="93">
        <f t="shared" si="56"/>
        <v>62044050</v>
      </c>
      <c r="Q157" s="258"/>
      <c r="R157" s="189"/>
      <c r="S157" s="189"/>
      <c r="T157" s="189"/>
    </row>
    <row r="158" spans="1:20" s="134" customFormat="1" ht="63" customHeight="1">
      <c r="A158" s="91" t="s">
        <v>575</v>
      </c>
      <c r="B158" s="91" t="str">
        <f>'дод. 4'!A101</f>
        <v>3082</v>
      </c>
      <c r="C158" s="91" t="str">
        <f>'дод. 4'!B101</f>
        <v>1010</v>
      </c>
      <c r="D158" s="119" t="str">
        <f>'дод. 4'!C101</f>
        <v>Надання державної соціальної допомоги особам,  які не  мають права на пенсію, та особам з інвалідністю, державної соціальної допомоги на догляд</v>
      </c>
      <c r="E158" s="93">
        <f t="shared" si="55"/>
        <v>12251650</v>
      </c>
      <c r="F158" s="93">
        <v>12251650</v>
      </c>
      <c r="G158" s="93"/>
      <c r="H158" s="93"/>
      <c r="I158" s="93"/>
      <c r="J158" s="93">
        <f t="shared" si="57"/>
        <v>0</v>
      </c>
      <c r="K158" s="93"/>
      <c r="L158" s="93"/>
      <c r="M158" s="93"/>
      <c r="N158" s="93"/>
      <c r="O158" s="93"/>
      <c r="P158" s="93">
        <f t="shared" si="56"/>
        <v>12251650</v>
      </c>
      <c r="Q158" s="258"/>
      <c r="R158" s="189"/>
      <c r="S158" s="189"/>
      <c r="T158" s="189"/>
    </row>
    <row r="159" spans="1:20" s="134" customFormat="1" ht="21" customHeight="1">
      <c r="A159" s="91"/>
      <c r="B159" s="91">
        <f>'дод. 4'!A102</f>
        <v>0</v>
      </c>
      <c r="C159" s="91">
        <f>'дод. 4'!B102</f>
        <v>0</v>
      </c>
      <c r="D159" s="119" t="str">
        <f>'дод. 4'!C102</f>
        <v>у т.ч. за рахунок субвенцій з держбюджету</v>
      </c>
      <c r="E159" s="93">
        <f t="shared" si="55"/>
        <v>12251650</v>
      </c>
      <c r="F159" s="93">
        <v>12251650</v>
      </c>
      <c r="G159" s="93"/>
      <c r="H159" s="93"/>
      <c r="I159" s="93"/>
      <c r="J159" s="93">
        <f t="shared" si="57"/>
        <v>0</v>
      </c>
      <c r="K159" s="93"/>
      <c r="L159" s="93"/>
      <c r="M159" s="93"/>
      <c r="N159" s="93"/>
      <c r="O159" s="93"/>
      <c r="P159" s="93">
        <f t="shared" si="56"/>
        <v>12251650</v>
      </c>
      <c r="Q159" s="258"/>
      <c r="R159" s="189"/>
      <c r="S159" s="189"/>
      <c r="T159" s="189"/>
    </row>
    <row r="160" spans="1:20" s="134" customFormat="1" ht="51.75" customHeight="1">
      <c r="A160" s="91" t="s">
        <v>576</v>
      </c>
      <c r="B160" s="91" t="str">
        <f>'дод. 4'!A103</f>
        <v>3083</v>
      </c>
      <c r="C160" s="91" t="str">
        <f>'дод. 4'!B103</f>
        <v>1010</v>
      </c>
      <c r="D160" s="119" t="str">
        <f>'дод. 4'!C103</f>
        <v>Надання допомоги по догляду за особами з інвалідністю I чи II групи внаслідок психічного розладу</v>
      </c>
      <c r="E160" s="93">
        <f t="shared" si="55"/>
        <v>11516480</v>
      </c>
      <c r="F160" s="93">
        <v>11516480</v>
      </c>
      <c r="G160" s="93"/>
      <c r="H160" s="93"/>
      <c r="I160" s="93"/>
      <c r="J160" s="93">
        <f t="shared" si="57"/>
        <v>0</v>
      </c>
      <c r="K160" s="93"/>
      <c r="L160" s="93"/>
      <c r="M160" s="93"/>
      <c r="N160" s="93"/>
      <c r="O160" s="93"/>
      <c r="P160" s="93">
        <f t="shared" si="56"/>
        <v>11516480</v>
      </c>
      <c r="Q160" s="258"/>
      <c r="R160" s="189"/>
      <c r="S160" s="189"/>
      <c r="T160" s="189"/>
    </row>
    <row r="161" spans="1:20" s="134" customFormat="1" ht="22.5" customHeight="1">
      <c r="A161" s="91"/>
      <c r="B161" s="91">
        <f>'дод. 4'!A104</f>
        <v>0</v>
      </c>
      <c r="C161" s="91">
        <f>'дод. 4'!B104</f>
        <v>0</v>
      </c>
      <c r="D161" s="119" t="str">
        <f>'дод. 4'!C104</f>
        <v>у т.ч. за рахунок субвенцій з держбюджету</v>
      </c>
      <c r="E161" s="93">
        <f t="shared" si="55"/>
        <v>11516480</v>
      </c>
      <c r="F161" s="93">
        <v>11516480</v>
      </c>
      <c r="G161" s="93"/>
      <c r="H161" s="93"/>
      <c r="I161" s="93"/>
      <c r="J161" s="93">
        <f t="shared" si="57"/>
        <v>0</v>
      </c>
      <c r="K161" s="93"/>
      <c r="L161" s="93"/>
      <c r="M161" s="93"/>
      <c r="N161" s="93"/>
      <c r="O161" s="93"/>
      <c r="P161" s="93">
        <f t="shared" si="56"/>
        <v>11516480</v>
      </c>
      <c r="Q161" s="258"/>
      <c r="R161" s="189"/>
      <c r="S161" s="189"/>
      <c r="T161" s="189"/>
    </row>
    <row r="162" spans="1:20" s="134" customFormat="1" ht="47.25" customHeight="1">
      <c r="A162" s="91" t="s">
        <v>577</v>
      </c>
      <c r="B162" s="91" t="str">
        <f>'дод. 4'!A105</f>
        <v>3084</v>
      </c>
      <c r="C162" s="91" t="str">
        <f>'дод. 4'!B105</f>
        <v>1040</v>
      </c>
      <c r="D162" s="119" t="str">
        <f>'дод. 4'!C105</f>
        <v>Надання тимчасової державної соціальної допомоги непрацюючій особі, яка досягла загального пенсійного віку, але не набула права на пенсійну виплату</v>
      </c>
      <c r="E162" s="93">
        <f t="shared" si="55"/>
        <v>11267070</v>
      </c>
      <c r="F162" s="93">
        <v>11267070</v>
      </c>
      <c r="G162" s="93"/>
      <c r="H162" s="93"/>
      <c r="I162" s="93"/>
      <c r="J162" s="93">
        <f t="shared" si="57"/>
        <v>0</v>
      </c>
      <c r="K162" s="93"/>
      <c r="L162" s="93"/>
      <c r="M162" s="93"/>
      <c r="N162" s="93"/>
      <c r="O162" s="93"/>
      <c r="P162" s="93">
        <f t="shared" si="56"/>
        <v>11267070</v>
      </c>
      <c r="Q162" s="258"/>
      <c r="R162" s="189"/>
      <c r="S162" s="189"/>
      <c r="T162" s="189"/>
    </row>
    <row r="163" spans="1:20" s="134" customFormat="1" ht="21.75" customHeight="1">
      <c r="A163" s="91"/>
      <c r="B163" s="91">
        <f>'дод. 4'!A106</f>
        <v>0</v>
      </c>
      <c r="C163" s="91">
        <f>'дод. 4'!B106</f>
        <v>0</v>
      </c>
      <c r="D163" s="119" t="str">
        <f>'дод. 4'!C106</f>
        <v>у т.ч. за рахунок субвенцій з держбюджету</v>
      </c>
      <c r="E163" s="93">
        <f t="shared" si="55"/>
        <v>11267070</v>
      </c>
      <c r="F163" s="93">
        <v>11267070</v>
      </c>
      <c r="G163" s="93"/>
      <c r="H163" s="93"/>
      <c r="I163" s="93"/>
      <c r="J163" s="93">
        <f t="shared" si="57"/>
        <v>0</v>
      </c>
      <c r="K163" s="93"/>
      <c r="L163" s="93"/>
      <c r="M163" s="93"/>
      <c r="N163" s="93"/>
      <c r="O163" s="93"/>
      <c r="P163" s="93">
        <f t="shared" si="56"/>
        <v>11267070</v>
      </c>
      <c r="Q163" s="258"/>
      <c r="R163" s="189"/>
      <c r="S163" s="189"/>
      <c r="T163" s="189"/>
    </row>
    <row r="164" spans="1:20" s="134" customFormat="1" ht="60.75" customHeight="1">
      <c r="A164" s="91" t="s">
        <v>578</v>
      </c>
      <c r="B164" s="91" t="str">
        <f>'дод. 4'!A107</f>
        <v>3085</v>
      </c>
      <c r="C164" s="91" t="str">
        <f>'дод. 4'!B107</f>
        <v>1010</v>
      </c>
      <c r="D164" s="119" t="str">
        <f>'дод. 4'!C107</f>
        <v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v>
      </c>
      <c r="E164" s="93">
        <f t="shared" si="55"/>
        <v>148270</v>
      </c>
      <c r="F164" s="93">
        <v>148270</v>
      </c>
      <c r="G164" s="93"/>
      <c r="H164" s="93"/>
      <c r="I164" s="93"/>
      <c r="J164" s="93">
        <f t="shared" si="57"/>
        <v>0</v>
      </c>
      <c r="K164" s="93"/>
      <c r="L164" s="93"/>
      <c r="M164" s="93"/>
      <c r="N164" s="93"/>
      <c r="O164" s="93"/>
      <c r="P164" s="93">
        <f t="shared" si="56"/>
        <v>148270</v>
      </c>
      <c r="Q164" s="258"/>
      <c r="R164" s="189"/>
      <c r="S164" s="189"/>
      <c r="T164" s="189"/>
    </row>
    <row r="165" spans="1:20" s="134" customFormat="1" ht="15.75" customHeight="1">
      <c r="A165" s="91"/>
      <c r="B165" s="91">
        <f>'дод. 4'!A108</f>
        <v>0</v>
      </c>
      <c r="C165" s="91">
        <f>'дод. 4'!B108</f>
        <v>0</v>
      </c>
      <c r="D165" s="119" t="str">
        <f>'дод. 4'!C108</f>
        <v>у т.ч. за рахунок субвенцій з держбюджету</v>
      </c>
      <c r="E165" s="93">
        <f t="shared" si="55"/>
        <v>148270</v>
      </c>
      <c r="F165" s="93">
        <v>148270</v>
      </c>
      <c r="G165" s="93"/>
      <c r="H165" s="93"/>
      <c r="I165" s="93"/>
      <c r="J165" s="93">
        <f t="shared" si="57"/>
        <v>0</v>
      </c>
      <c r="K165" s="93"/>
      <c r="L165" s="93"/>
      <c r="M165" s="93"/>
      <c r="N165" s="93"/>
      <c r="O165" s="93"/>
      <c r="P165" s="93">
        <f t="shared" si="56"/>
        <v>148270</v>
      </c>
      <c r="Q165" s="258"/>
      <c r="R165" s="189"/>
      <c r="S165" s="189"/>
      <c r="T165" s="189"/>
    </row>
    <row r="166" spans="1:20" s="4" customFormat="1" ht="30.75" customHeight="1">
      <c r="A166" s="94" t="s">
        <v>503</v>
      </c>
      <c r="B166" s="94" t="str">
        <f>'дод. 4'!A109</f>
        <v>3090</v>
      </c>
      <c r="C166" s="94" t="str">
        <f>'дод. 4'!B109</f>
        <v>1030</v>
      </c>
      <c r="D166" s="120" t="str">
        <f>'дод. 4'!C109</f>
        <v>Видатки на поховання учасників бойових дій та осіб з інвалідністю внаслідок війни</v>
      </c>
      <c r="E166" s="96">
        <f t="shared" si="55"/>
        <v>200700</v>
      </c>
      <c r="F166" s="96">
        <v>200700</v>
      </c>
      <c r="G166" s="96"/>
      <c r="H166" s="96"/>
      <c r="I166" s="96"/>
      <c r="J166" s="96">
        <f>K166+N166</f>
        <v>0</v>
      </c>
      <c r="K166" s="96"/>
      <c r="L166" s="96"/>
      <c r="M166" s="96"/>
      <c r="N166" s="96"/>
      <c r="O166" s="96"/>
      <c r="P166" s="96">
        <f t="shared" si="56"/>
        <v>200700</v>
      </c>
      <c r="Q166" s="258"/>
      <c r="R166" s="187"/>
      <c r="S166" s="187"/>
      <c r="T166" s="187"/>
    </row>
    <row r="167" spans="1:20" s="4" customFormat="1" ht="62.25" customHeight="1">
      <c r="A167" s="94" t="s">
        <v>299</v>
      </c>
      <c r="B167" s="94" t="str">
        <f>'дод. 4'!A110</f>
        <v>3100</v>
      </c>
      <c r="C167" s="94">
        <f>'дод. 4'!B110</f>
        <v>0</v>
      </c>
      <c r="D167" s="120" t="str">
        <f>'дод. 4'!C110</f>
        <v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v>
      </c>
      <c r="E167" s="96">
        <f>E168</f>
        <v>9191915</v>
      </c>
      <c r="F167" s="96">
        <f aca="true" t="shared" si="58" ref="F167:P167">F168</f>
        <v>9191915</v>
      </c>
      <c r="G167" s="96">
        <f t="shared" si="58"/>
        <v>6946900</v>
      </c>
      <c r="H167" s="96">
        <f t="shared" si="58"/>
        <v>193245</v>
      </c>
      <c r="I167" s="96">
        <f t="shared" si="58"/>
        <v>0</v>
      </c>
      <c r="J167" s="96">
        <f t="shared" si="58"/>
        <v>76400</v>
      </c>
      <c r="K167" s="96">
        <f t="shared" si="58"/>
        <v>57900</v>
      </c>
      <c r="L167" s="96">
        <f t="shared" si="58"/>
        <v>44700</v>
      </c>
      <c r="M167" s="96">
        <f t="shared" si="58"/>
        <v>0</v>
      </c>
      <c r="N167" s="96">
        <f t="shared" si="58"/>
        <v>18500</v>
      </c>
      <c r="O167" s="96">
        <f t="shared" si="58"/>
        <v>18500</v>
      </c>
      <c r="P167" s="96">
        <f t="shared" si="58"/>
        <v>9268315</v>
      </c>
      <c r="Q167" s="258"/>
      <c r="R167" s="188"/>
      <c r="S167" s="188"/>
      <c r="T167" s="188"/>
    </row>
    <row r="168" spans="1:20" s="134" customFormat="1" ht="60">
      <c r="A168" s="91" t="s">
        <v>300</v>
      </c>
      <c r="B168" s="91" t="str">
        <f>'дод. 4'!A111</f>
        <v>3104</v>
      </c>
      <c r="C168" s="91" t="str">
        <f>'дод. 4'!B111</f>
        <v>1020</v>
      </c>
      <c r="D168" s="119" t="str">
        <f>'дод. 4'!C111</f>
        <v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v>
      </c>
      <c r="E168" s="93">
        <f>F168+I168</f>
        <v>9191915</v>
      </c>
      <c r="F168" s="93">
        <v>9191915</v>
      </c>
      <c r="G168" s="93">
        <v>6946900</v>
      </c>
      <c r="H168" s="93">
        <v>193245</v>
      </c>
      <c r="I168" s="93"/>
      <c r="J168" s="93">
        <f>K168+N168</f>
        <v>76400</v>
      </c>
      <c r="K168" s="93">
        <v>57900</v>
      </c>
      <c r="L168" s="93">
        <v>44700</v>
      </c>
      <c r="M168" s="93"/>
      <c r="N168" s="93">
        <v>18500</v>
      </c>
      <c r="O168" s="93">
        <v>18500</v>
      </c>
      <c r="P168" s="93">
        <f>E168+J168</f>
        <v>9268315</v>
      </c>
      <c r="Q168" s="258"/>
      <c r="R168" s="189"/>
      <c r="S168" s="189"/>
      <c r="T168" s="189"/>
    </row>
    <row r="169" spans="1:20" s="4" customFormat="1" ht="81.75" customHeight="1">
      <c r="A169" s="94" t="s">
        <v>301</v>
      </c>
      <c r="B169" s="94" t="str">
        <f>'дод. 4'!A119</f>
        <v>3160</v>
      </c>
      <c r="C169" s="94">
        <f>'дод. 4'!B119</f>
        <v>1010</v>
      </c>
      <c r="D169" s="120" t="str">
        <f>'дод. 4'!C119</f>
        <v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v>
      </c>
      <c r="E169" s="96">
        <f>F169+I169</f>
        <v>1673920</v>
      </c>
      <c r="F169" s="96">
        <v>1673920</v>
      </c>
      <c r="G169" s="96"/>
      <c r="H169" s="96"/>
      <c r="I169" s="96"/>
      <c r="J169" s="96">
        <f>O169</f>
        <v>0</v>
      </c>
      <c r="K169" s="96"/>
      <c r="L169" s="96"/>
      <c r="M169" s="96"/>
      <c r="N169" s="96"/>
      <c r="O169" s="96">
        <v>0</v>
      </c>
      <c r="P169" s="96">
        <f>J169+E169</f>
        <v>1673920</v>
      </c>
      <c r="Q169" s="258">
        <v>20</v>
      </c>
      <c r="R169" s="187"/>
      <c r="S169" s="187"/>
      <c r="T169" s="187"/>
    </row>
    <row r="170" spans="1:20" s="4" customFormat="1" ht="36" customHeight="1">
      <c r="A170" s="94" t="s">
        <v>512</v>
      </c>
      <c r="B170" s="94" t="str">
        <f>'дод. 4'!A120</f>
        <v>3170</v>
      </c>
      <c r="C170" s="94">
        <f>'дод. 4'!B120</f>
        <v>0</v>
      </c>
      <c r="D170" s="120" t="str">
        <f>'дод. 4'!C120</f>
        <v>Забезпечення реалізації окремих програм для осіб з інвалідністю</v>
      </c>
      <c r="E170" s="96">
        <f aca="true" t="shared" si="59" ref="E170:P170">E171+E172</f>
        <v>188864</v>
      </c>
      <c r="F170" s="96">
        <f t="shared" si="59"/>
        <v>188864</v>
      </c>
      <c r="G170" s="96">
        <f t="shared" si="59"/>
        <v>0</v>
      </c>
      <c r="H170" s="96">
        <f t="shared" si="59"/>
        <v>0</v>
      </c>
      <c r="I170" s="96">
        <f t="shared" si="59"/>
        <v>0</v>
      </c>
      <c r="J170" s="96">
        <f t="shared" si="59"/>
        <v>0</v>
      </c>
      <c r="K170" s="96">
        <f t="shared" si="59"/>
        <v>0</v>
      </c>
      <c r="L170" s="96">
        <f t="shared" si="59"/>
        <v>0</v>
      </c>
      <c r="M170" s="96">
        <f t="shared" si="59"/>
        <v>0</v>
      </c>
      <c r="N170" s="96">
        <f t="shared" si="59"/>
        <v>0</v>
      </c>
      <c r="O170" s="96">
        <f t="shared" si="59"/>
        <v>0</v>
      </c>
      <c r="P170" s="96">
        <f t="shared" si="59"/>
        <v>188864</v>
      </c>
      <c r="Q170" s="258"/>
      <c r="R170" s="195"/>
      <c r="S170" s="195"/>
      <c r="T170" s="195"/>
    </row>
    <row r="171" spans="1:20" s="134" customFormat="1" ht="52.5" customHeight="1">
      <c r="A171" s="91" t="s">
        <v>513</v>
      </c>
      <c r="B171" s="94" t="str">
        <f>'дод. 4'!A121</f>
        <v>3171</v>
      </c>
      <c r="C171" s="94">
        <f>'дод. 4'!B121</f>
        <v>1010</v>
      </c>
      <c r="D171" s="119" t="str">
        <f>'дод. 4'!C121</f>
        <v>Компенсаційні виплати особам з інвалідністю на бензин, ремонт, технічне обслуговування автомобілів, мотоколясок і на транспортне обслуговування</v>
      </c>
      <c r="E171" s="93">
        <f>F171+I171</f>
        <v>188024</v>
      </c>
      <c r="F171" s="93">
        <v>188024</v>
      </c>
      <c r="G171" s="93"/>
      <c r="H171" s="93"/>
      <c r="I171" s="93"/>
      <c r="J171" s="93">
        <f>K171+N171</f>
        <v>0</v>
      </c>
      <c r="K171" s="93"/>
      <c r="L171" s="93"/>
      <c r="M171" s="93"/>
      <c r="N171" s="93"/>
      <c r="O171" s="93"/>
      <c r="P171" s="93">
        <f>E171+J171</f>
        <v>188024</v>
      </c>
      <c r="Q171" s="258"/>
      <c r="R171" s="189"/>
      <c r="S171" s="189"/>
      <c r="T171" s="189"/>
    </row>
    <row r="172" spans="1:20" s="134" customFormat="1" ht="33.75" customHeight="1">
      <c r="A172" s="91" t="s">
        <v>514</v>
      </c>
      <c r="B172" s="94" t="str">
        <f>'дод. 4'!A122</f>
        <v>3172</v>
      </c>
      <c r="C172" s="94">
        <f>'дод. 4'!B122</f>
        <v>1010</v>
      </c>
      <c r="D172" s="119" t="str">
        <f>'дод. 4'!C122</f>
        <v>Встановлення телефонів особам з інвалідністю I і II груп</v>
      </c>
      <c r="E172" s="93">
        <f>F172+I172</f>
        <v>840</v>
      </c>
      <c r="F172" s="93">
        <v>840</v>
      </c>
      <c r="G172" s="93"/>
      <c r="H172" s="93"/>
      <c r="I172" s="93"/>
      <c r="J172" s="93">
        <f>K172+N172</f>
        <v>0</v>
      </c>
      <c r="K172" s="93"/>
      <c r="L172" s="93"/>
      <c r="M172" s="93"/>
      <c r="N172" s="93"/>
      <c r="O172" s="93"/>
      <c r="P172" s="93">
        <f>E172+J172</f>
        <v>840</v>
      </c>
      <c r="Q172" s="258"/>
      <c r="R172" s="189"/>
      <c r="S172" s="189"/>
      <c r="T172" s="189"/>
    </row>
    <row r="173" spans="1:20" s="4" customFormat="1" ht="66" customHeight="1">
      <c r="A173" s="94" t="s">
        <v>302</v>
      </c>
      <c r="B173" s="94" t="str">
        <f>'дод. 4'!A123</f>
        <v>3180</v>
      </c>
      <c r="C173" s="94" t="str">
        <f>'дод. 4'!B123</f>
        <v>1060</v>
      </c>
      <c r="D173" s="120" t="str">
        <f>'дод. 4'!C123</f>
        <v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</v>
      </c>
      <c r="E173" s="96">
        <f>F173+I173</f>
        <v>1242491</v>
      </c>
      <c r="F173" s="96">
        <v>1242491</v>
      </c>
      <c r="G173" s="96"/>
      <c r="H173" s="96"/>
      <c r="I173" s="96"/>
      <c r="J173" s="96">
        <f>K173+N173</f>
        <v>0</v>
      </c>
      <c r="K173" s="96"/>
      <c r="L173" s="96"/>
      <c r="M173" s="96"/>
      <c r="N173" s="96"/>
      <c r="O173" s="96"/>
      <c r="P173" s="96">
        <f>E173+J173</f>
        <v>1242491</v>
      </c>
      <c r="Q173" s="258"/>
      <c r="R173" s="187"/>
      <c r="S173" s="187"/>
      <c r="T173" s="187"/>
    </row>
    <row r="174" spans="1:20" s="4" customFormat="1" ht="21.75" customHeight="1">
      <c r="A174" s="94" t="s">
        <v>487</v>
      </c>
      <c r="B174" s="94" t="str">
        <f>'дод. 4'!A124</f>
        <v>3190</v>
      </c>
      <c r="C174" s="94">
        <f>'дод. 4'!B124</f>
        <v>0</v>
      </c>
      <c r="D174" s="120" t="str">
        <f>'дод. 4'!C124</f>
        <v>Соціальний захист ветеранів війни та праці</v>
      </c>
      <c r="E174" s="96">
        <f>E175+E176</f>
        <v>2940434</v>
      </c>
      <c r="F174" s="96">
        <f aca="true" t="shared" si="60" ref="F174:P174">F175+F176</f>
        <v>2940434</v>
      </c>
      <c r="G174" s="96">
        <f t="shared" si="60"/>
        <v>0</v>
      </c>
      <c r="H174" s="96">
        <f t="shared" si="60"/>
        <v>0</v>
      </c>
      <c r="I174" s="96">
        <f t="shared" si="60"/>
        <v>0</v>
      </c>
      <c r="J174" s="96">
        <f t="shared" si="60"/>
        <v>0</v>
      </c>
      <c r="K174" s="96">
        <f t="shared" si="60"/>
        <v>0</v>
      </c>
      <c r="L174" s="96">
        <f t="shared" si="60"/>
        <v>0</v>
      </c>
      <c r="M174" s="96">
        <f t="shared" si="60"/>
        <v>0</v>
      </c>
      <c r="N174" s="96">
        <f t="shared" si="60"/>
        <v>0</v>
      </c>
      <c r="O174" s="96">
        <f t="shared" si="60"/>
        <v>0</v>
      </c>
      <c r="P174" s="96">
        <f t="shared" si="60"/>
        <v>2940434</v>
      </c>
      <c r="Q174" s="258"/>
      <c r="R174" s="188"/>
      <c r="S174" s="188"/>
      <c r="T174" s="188"/>
    </row>
    <row r="175" spans="1:20" s="134" customFormat="1" ht="30">
      <c r="A175" s="91" t="s">
        <v>488</v>
      </c>
      <c r="B175" s="91" t="str">
        <f>'дод. 4'!A125</f>
        <v>3191</v>
      </c>
      <c r="C175" s="91" t="str">
        <f>'дод. 4'!B125</f>
        <v>1030</v>
      </c>
      <c r="D175" s="119" t="str">
        <f>'дод. 4'!C125</f>
        <v>Інші видатки на соціальний захист ветеранів війни та праці</v>
      </c>
      <c r="E175" s="93">
        <f aca="true" t="shared" si="61" ref="E175:E180">F175+I175</f>
        <v>1748334</v>
      </c>
      <c r="F175" s="93">
        <f>1736305-10378+22407</f>
        <v>1748334</v>
      </c>
      <c r="G175" s="93"/>
      <c r="H175" s="93"/>
      <c r="I175" s="93"/>
      <c r="J175" s="93">
        <f aca="true" t="shared" si="62" ref="J175:J185">K175+N175</f>
        <v>0</v>
      </c>
      <c r="K175" s="93"/>
      <c r="L175" s="93"/>
      <c r="M175" s="93"/>
      <c r="N175" s="93"/>
      <c r="O175" s="93"/>
      <c r="P175" s="93">
        <f aca="true" t="shared" si="63" ref="P175:P180">E175+J175</f>
        <v>1748334</v>
      </c>
      <c r="Q175" s="258"/>
      <c r="R175" s="189"/>
      <c r="S175" s="189"/>
      <c r="T175" s="189"/>
    </row>
    <row r="176" spans="1:20" s="134" customFormat="1" ht="45">
      <c r="A176" s="91" t="s">
        <v>489</v>
      </c>
      <c r="B176" s="91" t="str">
        <f>'дод. 4'!A126</f>
        <v>3192</v>
      </c>
      <c r="C176" s="91" t="str">
        <f>'дод. 4'!B126</f>
        <v>1030</v>
      </c>
      <c r="D176" s="119" t="str">
        <f>'дод. 4'!C126</f>
        <v>Надання фінансової підтримки громадським організаціям ветеранів і осіб з інвалідністю, діяльність яких має соціальну спрямованість</v>
      </c>
      <c r="E176" s="93">
        <f t="shared" si="61"/>
        <v>1192100</v>
      </c>
      <c r="F176" s="93">
        <v>1192100</v>
      </c>
      <c r="G176" s="93"/>
      <c r="H176" s="93"/>
      <c r="I176" s="93"/>
      <c r="J176" s="93">
        <f t="shared" si="62"/>
        <v>0</v>
      </c>
      <c r="K176" s="93"/>
      <c r="L176" s="93"/>
      <c r="M176" s="93"/>
      <c r="N176" s="93"/>
      <c r="O176" s="93"/>
      <c r="P176" s="93">
        <f t="shared" si="63"/>
        <v>1192100</v>
      </c>
      <c r="Q176" s="258"/>
      <c r="R176" s="189"/>
      <c r="S176" s="189"/>
      <c r="T176" s="189"/>
    </row>
    <row r="177" spans="1:20" s="4" customFormat="1" ht="30">
      <c r="A177" s="94" t="s">
        <v>303</v>
      </c>
      <c r="B177" s="94" t="str">
        <f>'дод. 4'!A127</f>
        <v>3200</v>
      </c>
      <c r="C177" s="94" t="str">
        <f>'дод. 4'!B127</f>
        <v>1090</v>
      </c>
      <c r="D177" s="120" t="str">
        <f>'дод. 4'!C127</f>
        <v>Забезпечення обробки інформації з нарахування та виплати допомог і компенсацій </v>
      </c>
      <c r="E177" s="96">
        <f t="shared" si="61"/>
        <v>75000</v>
      </c>
      <c r="F177" s="96">
        <v>75000</v>
      </c>
      <c r="G177" s="96"/>
      <c r="H177" s="96"/>
      <c r="I177" s="96"/>
      <c r="J177" s="96">
        <f t="shared" si="62"/>
        <v>0</v>
      </c>
      <c r="K177" s="96"/>
      <c r="L177" s="96"/>
      <c r="M177" s="96"/>
      <c r="N177" s="96"/>
      <c r="O177" s="96"/>
      <c r="P177" s="96">
        <f t="shared" si="63"/>
        <v>75000</v>
      </c>
      <c r="Q177" s="258"/>
      <c r="R177" s="187"/>
      <c r="S177" s="187"/>
      <c r="T177" s="187"/>
    </row>
    <row r="178" spans="1:20" s="4" customFormat="1" ht="19.5" customHeight="1">
      <c r="A178" s="97" t="s">
        <v>490</v>
      </c>
      <c r="B178" s="97" t="str">
        <f>'дод. 4'!A128</f>
        <v>3210</v>
      </c>
      <c r="C178" s="97" t="str">
        <f>'дод. 4'!B128</f>
        <v>1050</v>
      </c>
      <c r="D178" s="125" t="str">
        <f>'дод. 4'!C128</f>
        <v>Організація та проведення громадських робіт</v>
      </c>
      <c r="E178" s="96">
        <f t="shared" si="61"/>
        <v>300000</v>
      </c>
      <c r="F178" s="96">
        <v>300000</v>
      </c>
      <c r="G178" s="96">
        <v>245902</v>
      </c>
      <c r="H178" s="96"/>
      <c r="I178" s="96"/>
      <c r="J178" s="96">
        <f t="shared" si="62"/>
        <v>0</v>
      </c>
      <c r="K178" s="96"/>
      <c r="L178" s="96"/>
      <c r="M178" s="96"/>
      <c r="N178" s="96"/>
      <c r="O178" s="96"/>
      <c r="P178" s="96">
        <f t="shared" si="63"/>
        <v>300000</v>
      </c>
      <c r="Q178" s="258"/>
      <c r="R178" s="187"/>
      <c r="S178" s="187"/>
      <c r="T178" s="187"/>
    </row>
    <row r="179" spans="1:20" s="4" customFormat="1" ht="153.75" customHeight="1">
      <c r="A179" s="97" t="s">
        <v>579</v>
      </c>
      <c r="B179" s="169" t="str">
        <f>'дод. 4'!A129</f>
        <v>3230</v>
      </c>
      <c r="C179" s="169" t="str">
        <f>'дод. 4'!B129</f>
        <v>1040</v>
      </c>
      <c r="D179" s="89" t="s">
        <v>567</v>
      </c>
      <c r="E179" s="96">
        <f t="shared" si="61"/>
        <v>2695700</v>
      </c>
      <c r="F179" s="96">
        <v>2695700</v>
      </c>
      <c r="G179" s="96"/>
      <c r="H179" s="96"/>
      <c r="I179" s="96"/>
      <c r="J179" s="96">
        <f t="shared" si="62"/>
        <v>0</v>
      </c>
      <c r="K179" s="96"/>
      <c r="L179" s="96"/>
      <c r="M179" s="96"/>
      <c r="N179" s="96"/>
      <c r="O179" s="96"/>
      <c r="P179" s="96">
        <f t="shared" si="63"/>
        <v>2695700</v>
      </c>
      <c r="Q179" s="258"/>
      <c r="R179" s="187"/>
      <c r="S179" s="187"/>
      <c r="T179" s="187"/>
    </row>
    <row r="180" spans="1:20" s="4" customFormat="1" ht="19.5" customHeight="1">
      <c r="A180" s="97"/>
      <c r="B180" s="169">
        <f>'дод. 4'!A130</f>
        <v>0</v>
      </c>
      <c r="C180" s="169">
        <f>'дод. 4'!B130</f>
        <v>0</v>
      </c>
      <c r="D180" s="125" t="str">
        <f>'дод. 4'!C130</f>
        <v>у т.ч. за рахунок субвенцій з держбюджету</v>
      </c>
      <c r="E180" s="96">
        <f t="shared" si="61"/>
        <v>2695700</v>
      </c>
      <c r="F180" s="96">
        <v>2695700</v>
      </c>
      <c r="G180" s="96"/>
      <c r="H180" s="96"/>
      <c r="I180" s="96"/>
      <c r="J180" s="96">
        <f t="shared" si="62"/>
        <v>0</v>
      </c>
      <c r="K180" s="96"/>
      <c r="L180" s="96"/>
      <c r="M180" s="96"/>
      <c r="N180" s="96"/>
      <c r="O180" s="96"/>
      <c r="P180" s="96">
        <f t="shared" si="63"/>
        <v>2695700</v>
      </c>
      <c r="Q180" s="258"/>
      <c r="R180" s="187"/>
      <c r="S180" s="187"/>
      <c r="T180" s="187"/>
    </row>
    <row r="181" spans="1:20" s="4" customFormat="1" ht="22.5" customHeight="1">
      <c r="A181" s="94" t="s">
        <v>483</v>
      </c>
      <c r="B181" s="94" t="str">
        <f>'дод. 4'!A131</f>
        <v>3240</v>
      </c>
      <c r="C181" s="94">
        <f>'дод. 4'!B131</f>
        <v>0</v>
      </c>
      <c r="D181" s="120" t="str">
        <f>'дод. 4'!C131</f>
        <v>Інші заклади та заходи</v>
      </c>
      <c r="E181" s="96">
        <f>E182+E183</f>
        <v>33331696</v>
      </c>
      <c r="F181" s="96">
        <f aca="true" t="shared" si="64" ref="F181:P181">F182+F183</f>
        <v>33331696</v>
      </c>
      <c r="G181" s="96">
        <f t="shared" si="64"/>
        <v>2332125</v>
      </c>
      <c r="H181" s="96">
        <f t="shared" si="64"/>
        <v>673281</v>
      </c>
      <c r="I181" s="96">
        <f t="shared" si="64"/>
        <v>0</v>
      </c>
      <c r="J181" s="96">
        <f t="shared" si="64"/>
        <v>375000</v>
      </c>
      <c r="K181" s="96">
        <f t="shared" si="64"/>
        <v>0</v>
      </c>
      <c r="L181" s="96">
        <f t="shared" si="64"/>
        <v>0</v>
      </c>
      <c r="M181" s="96">
        <f t="shared" si="64"/>
        <v>0</v>
      </c>
      <c r="N181" s="96">
        <f t="shared" si="64"/>
        <v>375000</v>
      </c>
      <c r="O181" s="96">
        <f t="shared" si="64"/>
        <v>375000</v>
      </c>
      <c r="P181" s="96">
        <f t="shared" si="64"/>
        <v>33706696</v>
      </c>
      <c r="Q181" s="258"/>
      <c r="R181" s="188"/>
      <c r="S181" s="188"/>
      <c r="T181" s="188"/>
    </row>
    <row r="182" spans="1:20" s="33" customFormat="1" ht="31.5" customHeight="1">
      <c r="A182" s="91" t="s">
        <v>482</v>
      </c>
      <c r="B182" s="91" t="str">
        <f>'дод. 4'!A132</f>
        <v>3241</v>
      </c>
      <c r="C182" s="91" t="str">
        <f>'дод. 4'!B132</f>
        <v>1090</v>
      </c>
      <c r="D182" s="119" t="str">
        <f>'дод. 4'!C132</f>
        <v>Забезпечення діяльності інших закладів у сфері соціального захисту і соціального забезпечення</v>
      </c>
      <c r="E182" s="93">
        <f>F182+I182</f>
        <v>4241010</v>
      </c>
      <c r="F182" s="93">
        <v>4241010</v>
      </c>
      <c r="G182" s="93">
        <v>2332125</v>
      </c>
      <c r="H182" s="93">
        <v>673281</v>
      </c>
      <c r="I182" s="93"/>
      <c r="J182" s="93">
        <f t="shared" si="62"/>
        <v>300000</v>
      </c>
      <c r="K182" s="93"/>
      <c r="L182" s="93"/>
      <c r="M182" s="93"/>
      <c r="N182" s="93">
        <v>300000</v>
      </c>
      <c r="O182" s="93">
        <v>300000</v>
      </c>
      <c r="P182" s="93">
        <f>E182+J182</f>
        <v>4541010</v>
      </c>
      <c r="Q182" s="258"/>
      <c r="R182" s="189"/>
      <c r="S182" s="189"/>
      <c r="T182" s="189"/>
    </row>
    <row r="183" spans="1:20" s="33" customFormat="1" ht="29.25" customHeight="1">
      <c r="A183" s="91" t="s">
        <v>484</v>
      </c>
      <c r="B183" s="91" t="str">
        <f>'дод. 4'!A133</f>
        <v>3242</v>
      </c>
      <c r="C183" s="91" t="str">
        <f>'дод. 4'!B133</f>
        <v>1090</v>
      </c>
      <c r="D183" s="119" t="str">
        <f>'дод. 4'!C133</f>
        <v>Інші заходи у сфері соціального захисту і соціального забезпечення</v>
      </c>
      <c r="E183" s="93">
        <f>F183+I183</f>
        <v>29090686</v>
      </c>
      <c r="F183" s="93">
        <f>11768030+16000000-4024-26631+175000+401100+353011+150000+274200</f>
        <v>29090686</v>
      </c>
      <c r="G183" s="93"/>
      <c r="H183" s="93"/>
      <c r="I183" s="93"/>
      <c r="J183" s="93">
        <f t="shared" si="62"/>
        <v>75000</v>
      </c>
      <c r="K183" s="93"/>
      <c r="L183" s="93"/>
      <c r="M183" s="93"/>
      <c r="N183" s="93">
        <v>75000</v>
      </c>
      <c r="O183" s="93">
        <v>75000</v>
      </c>
      <c r="P183" s="93">
        <f>E183+J183</f>
        <v>29165686</v>
      </c>
      <c r="Q183" s="258"/>
      <c r="R183" s="189"/>
      <c r="S183" s="189"/>
      <c r="T183" s="189"/>
    </row>
    <row r="184" spans="1:20" s="134" customFormat="1" ht="19.5" customHeight="1">
      <c r="A184" s="94" t="s">
        <v>304</v>
      </c>
      <c r="B184" s="94" t="str">
        <f>'дод. 4'!A183</f>
        <v>7640</v>
      </c>
      <c r="C184" s="94" t="str">
        <f>'дод. 4'!B183</f>
        <v>0470</v>
      </c>
      <c r="D184" s="126" t="str">
        <f>'дод. 4'!C183</f>
        <v>Заходи з енергозбереження</v>
      </c>
      <c r="E184" s="96">
        <f>F184+I184</f>
        <v>29000</v>
      </c>
      <c r="F184" s="96">
        <v>29000</v>
      </c>
      <c r="G184" s="96"/>
      <c r="H184" s="96"/>
      <c r="I184" s="96"/>
      <c r="J184" s="96">
        <f t="shared" si="62"/>
        <v>0</v>
      </c>
      <c r="K184" s="96"/>
      <c r="L184" s="96"/>
      <c r="M184" s="96"/>
      <c r="N184" s="96"/>
      <c r="O184" s="96"/>
      <c r="P184" s="96">
        <f>E184+J184</f>
        <v>29000</v>
      </c>
      <c r="Q184" s="258"/>
      <c r="R184" s="187"/>
      <c r="S184" s="187"/>
      <c r="T184" s="187"/>
    </row>
    <row r="185" spans="1:20" s="134" customFormat="1" ht="23.25" customHeight="1">
      <c r="A185" s="94" t="s">
        <v>414</v>
      </c>
      <c r="B185" s="94" t="str">
        <f>'дод. 4'!A208</f>
        <v>9770</v>
      </c>
      <c r="C185" s="94" t="str">
        <f>'дод. 4'!B208</f>
        <v>0180</v>
      </c>
      <c r="D185" s="126" t="str">
        <f>'дод. 4'!C208</f>
        <v>Інші субвенції з місцевого бюджету </v>
      </c>
      <c r="E185" s="96">
        <f>F185+I185</f>
        <v>611000</v>
      </c>
      <c r="F185" s="96">
        <v>611000</v>
      </c>
      <c r="G185" s="96"/>
      <c r="H185" s="96"/>
      <c r="I185" s="96"/>
      <c r="J185" s="96">
        <f t="shared" si="62"/>
        <v>0</v>
      </c>
      <c r="K185" s="96"/>
      <c r="L185" s="96"/>
      <c r="M185" s="96"/>
      <c r="N185" s="96"/>
      <c r="O185" s="96"/>
      <c r="P185" s="96">
        <f>E185+J185</f>
        <v>611000</v>
      </c>
      <c r="Q185" s="258"/>
      <c r="R185" s="187"/>
      <c r="S185" s="187"/>
      <c r="T185" s="187"/>
    </row>
    <row r="186" spans="1:20" s="129" customFormat="1" ht="21" customHeight="1">
      <c r="A186" s="139" t="s">
        <v>305</v>
      </c>
      <c r="B186" s="140"/>
      <c r="C186" s="140"/>
      <c r="D186" s="36" t="s">
        <v>59</v>
      </c>
      <c r="E186" s="47">
        <f>E187</f>
        <v>3804000</v>
      </c>
      <c r="F186" s="47">
        <f aca="true" t="shared" si="65" ref="F186:P186">F187</f>
        <v>3804000</v>
      </c>
      <c r="G186" s="47">
        <f t="shared" si="65"/>
        <v>2969000</v>
      </c>
      <c r="H186" s="47">
        <f t="shared" si="65"/>
        <v>37220</v>
      </c>
      <c r="I186" s="47">
        <f t="shared" si="65"/>
        <v>0</v>
      </c>
      <c r="J186" s="47">
        <f t="shared" si="65"/>
        <v>0</v>
      </c>
      <c r="K186" s="47">
        <f t="shared" si="65"/>
        <v>0</v>
      </c>
      <c r="L186" s="47">
        <f t="shared" si="65"/>
        <v>0</v>
      </c>
      <c r="M186" s="47">
        <f t="shared" si="65"/>
        <v>0</v>
      </c>
      <c r="N186" s="47">
        <f t="shared" si="65"/>
        <v>0</v>
      </c>
      <c r="O186" s="47">
        <f t="shared" si="65"/>
        <v>0</v>
      </c>
      <c r="P186" s="47">
        <f t="shared" si="65"/>
        <v>3804000</v>
      </c>
      <c r="Q186" s="258"/>
      <c r="R186" s="185"/>
      <c r="S186" s="185"/>
      <c r="T186" s="185"/>
    </row>
    <row r="187" spans="1:20" s="132" customFormat="1" ht="21.75" customHeight="1">
      <c r="A187" s="141" t="s">
        <v>306</v>
      </c>
      <c r="B187" s="142"/>
      <c r="C187" s="142"/>
      <c r="D187" s="143" t="s">
        <v>59</v>
      </c>
      <c r="E187" s="87">
        <f>E188+E189</f>
        <v>3804000</v>
      </c>
      <c r="F187" s="87">
        <f aca="true" t="shared" si="66" ref="F187:P187">F188+F189</f>
        <v>3804000</v>
      </c>
      <c r="G187" s="87">
        <f t="shared" si="66"/>
        <v>2969000</v>
      </c>
      <c r="H187" s="87">
        <f t="shared" si="66"/>
        <v>37220</v>
      </c>
      <c r="I187" s="87">
        <f t="shared" si="66"/>
        <v>0</v>
      </c>
      <c r="J187" s="87">
        <f t="shared" si="66"/>
        <v>0</v>
      </c>
      <c r="K187" s="87">
        <f t="shared" si="66"/>
        <v>0</v>
      </c>
      <c r="L187" s="87">
        <f t="shared" si="66"/>
        <v>0</v>
      </c>
      <c r="M187" s="87">
        <f t="shared" si="66"/>
        <v>0</v>
      </c>
      <c r="N187" s="87">
        <f t="shared" si="66"/>
        <v>0</v>
      </c>
      <c r="O187" s="87">
        <f t="shared" si="66"/>
        <v>0</v>
      </c>
      <c r="P187" s="87">
        <f t="shared" si="66"/>
        <v>3804000</v>
      </c>
      <c r="Q187" s="258"/>
      <c r="R187" s="194"/>
      <c r="S187" s="194"/>
      <c r="T187" s="194"/>
    </row>
    <row r="188" spans="1:20" s="4" customFormat="1" ht="45">
      <c r="A188" s="88" t="s">
        <v>307</v>
      </c>
      <c r="B188" s="88" t="str">
        <f>'дод. 4'!A14</f>
        <v>0160</v>
      </c>
      <c r="C188" s="88" t="str">
        <f>'дод. 4'!B14</f>
        <v>0111</v>
      </c>
      <c r="D188" s="89" t="str">
        <f>'дод. 4'!C14</f>
        <v>Керівництво і управління у відповідній сфері у містах (місті Києві), селищах, селах, об’єднаних територіальних громадах</v>
      </c>
      <c r="E188" s="90">
        <f>F188+I188</f>
        <v>3724000</v>
      </c>
      <c r="F188" s="90">
        <f>3538900+211500-26400</f>
        <v>3724000</v>
      </c>
      <c r="G188" s="90">
        <v>2969000</v>
      </c>
      <c r="H188" s="90">
        <v>37220</v>
      </c>
      <c r="I188" s="90"/>
      <c r="J188" s="90">
        <f>K188+N188</f>
        <v>0</v>
      </c>
      <c r="K188" s="90"/>
      <c r="L188" s="90"/>
      <c r="M188" s="90"/>
      <c r="N188" s="90">
        <f>27000-27000</f>
        <v>0</v>
      </c>
      <c r="O188" s="90">
        <f>27000-27000</f>
        <v>0</v>
      </c>
      <c r="P188" s="90">
        <f>E188+J188</f>
        <v>3724000</v>
      </c>
      <c r="Q188" s="258"/>
      <c r="R188" s="187"/>
      <c r="S188" s="187"/>
      <c r="T188" s="187"/>
    </row>
    <row r="189" spans="1:20" s="4" customFormat="1" ht="30.75" customHeight="1">
      <c r="A189" s="88" t="s">
        <v>308</v>
      </c>
      <c r="B189" s="88" t="str">
        <f>'дод. 4'!A112</f>
        <v>3110</v>
      </c>
      <c r="C189" s="88">
        <f>'дод. 4'!B112</f>
        <v>0</v>
      </c>
      <c r="D189" s="122" t="str">
        <f>'дод. 4'!C112</f>
        <v>Заклади і заходи з питань дітей та їх соціального захисту</v>
      </c>
      <c r="E189" s="90">
        <f>E190</f>
        <v>80000</v>
      </c>
      <c r="F189" s="90">
        <f aca="true" t="shared" si="67" ref="F189:P189">F190</f>
        <v>80000</v>
      </c>
      <c r="G189" s="90">
        <f t="shared" si="67"/>
        <v>0</v>
      </c>
      <c r="H189" s="90">
        <f t="shared" si="67"/>
        <v>0</v>
      </c>
      <c r="I189" s="90">
        <f t="shared" si="67"/>
        <v>0</v>
      </c>
      <c r="J189" s="90">
        <f t="shared" si="67"/>
        <v>0</v>
      </c>
      <c r="K189" s="90">
        <f t="shared" si="67"/>
        <v>0</v>
      </c>
      <c r="L189" s="90">
        <f t="shared" si="67"/>
        <v>0</v>
      </c>
      <c r="M189" s="90">
        <f t="shared" si="67"/>
        <v>0</v>
      </c>
      <c r="N189" s="90">
        <f t="shared" si="67"/>
        <v>0</v>
      </c>
      <c r="O189" s="90">
        <f t="shared" si="67"/>
        <v>0</v>
      </c>
      <c r="P189" s="90">
        <f t="shared" si="67"/>
        <v>80000</v>
      </c>
      <c r="Q189" s="258"/>
      <c r="R189" s="188">
        <f>R190</f>
        <v>0</v>
      </c>
      <c r="S189" s="188">
        <f>S190</f>
        <v>0</v>
      </c>
      <c r="T189" s="188"/>
    </row>
    <row r="190" spans="1:20" s="134" customFormat="1" ht="36.75" customHeight="1">
      <c r="A190" s="91" t="s">
        <v>309</v>
      </c>
      <c r="B190" s="91" t="str">
        <f>'дод. 4'!A113</f>
        <v>3112</v>
      </c>
      <c r="C190" s="91" t="str">
        <f>'дод. 4'!B113</f>
        <v>1040</v>
      </c>
      <c r="D190" s="119" t="str">
        <f>'дод. 4'!C113</f>
        <v>Заходи державної політики з питань дітей та їх соціального захисту</v>
      </c>
      <c r="E190" s="93">
        <f>F190+I190</f>
        <v>80000</v>
      </c>
      <c r="F190" s="93">
        <v>80000</v>
      </c>
      <c r="G190" s="93"/>
      <c r="H190" s="93"/>
      <c r="I190" s="93"/>
      <c r="J190" s="93">
        <f>K190+N190</f>
        <v>0</v>
      </c>
      <c r="K190" s="93"/>
      <c r="L190" s="93"/>
      <c r="M190" s="93"/>
      <c r="N190" s="93"/>
      <c r="O190" s="93"/>
      <c r="P190" s="93">
        <f>E190+J190</f>
        <v>80000</v>
      </c>
      <c r="Q190" s="258"/>
      <c r="R190" s="189"/>
      <c r="S190" s="189"/>
      <c r="T190" s="189"/>
    </row>
    <row r="191" spans="1:20" s="129" customFormat="1" ht="20.25" customHeight="1">
      <c r="A191" s="127" t="s">
        <v>50</v>
      </c>
      <c r="B191" s="37"/>
      <c r="C191" s="37"/>
      <c r="D191" s="36" t="s">
        <v>61</v>
      </c>
      <c r="E191" s="47">
        <f>E192</f>
        <v>50874170</v>
      </c>
      <c r="F191" s="47">
        <f aca="true" t="shared" si="68" ref="F191:P191">F192</f>
        <v>50874170</v>
      </c>
      <c r="G191" s="47">
        <f t="shared" si="68"/>
        <v>36885629</v>
      </c>
      <c r="H191" s="47">
        <f t="shared" si="68"/>
        <v>1862231</v>
      </c>
      <c r="I191" s="47">
        <f t="shared" si="68"/>
        <v>0</v>
      </c>
      <c r="J191" s="47">
        <f t="shared" si="68"/>
        <v>5210900</v>
      </c>
      <c r="K191" s="47">
        <f t="shared" si="68"/>
        <v>2135830</v>
      </c>
      <c r="L191" s="47">
        <f t="shared" si="68"/>
        <v>1726450</v>
      </c>
      <c r="M191" s="47">
        <f t="shared" si="68"/>
        <v>0</v>
      </c>
      <c r="N191" s="47">
        <f t="shared" si="68"/>
        <v>3075070</v>
      </c>
      <c r="O191" s="47">
        <f t="shared" si="68"/>
        <v>3070350</v>
      </c>
      <c r="P191" s="47">
        <f t="shared" si="68"/>
        <v>56085070</v>
      </c>
      <c r="Q191" s="258"/>
      <c r="R191" s="185">
        <f>R193+R194+R195+R197+R198+R199</f>
        <v>0</v>
      </c>
      <c r="S191" s="185">
        <f>S193+S194+S195+S197+S198+S199</f>
        <v>0</v>
      </c>
      <c r="T191" s="185"/>
    </row>
    <row r="192" spans="1:20" s="132" customFormat="1" ht="24.75" customHeight="1">
      <c r="A192" s="130" t="s">
        <v>310</v>
      </c>
      <c r="B192" s="144"/>
      <c r="C192" s="144"/>
      <c r="D192" s="143" t="s">
        <v>61</v>
      </c>
      <c r="E192" s="87">
        <f>E193+E194+E195+E196+E199</f>
        <v>50874170</v>
      </c>
      <c r="F192" s="87">
        <f aca="true" t="shared" si="69" ref="F192:P192">F193+F194+F195+F196+F199</f>
        <v>50874170</v>
      </c>
      <c r="G192" s="87">
        <f t="shared" si="69"/>
        <v>36885629</v>
      </c>
      <c r="H192" s="87">
        <f t="shared" si="69"/>
        <v>1862231</v>
      </c>
      <c r="I192" s="87">
        <f t="shared" si="69"/>
        <v>0</v>
      </c>
      <c r="J192" s="87">
        <f t="shared" si="69"/>
        <v>5210900</v>
      </c>
      <c r="K192" s="87">
        <f t="shared" si="69"/>
        <v>2135830</v>
      </c>
      <c r="L192" s="87">
        <f t="shared" si="69"/>
        <v>1726450</v>
      </c>
      <c r="M192" s="87">
        <f t="shared" si="69"/>
        <v>0</v>
      </c>
      <c r="N192" s="87">
        <f t="shared" si="69"/>
        <v>3075070</v>
      </c>
      <c r="O192" s="87">
        <f t="shared" si="69"/>
        <v>3070350</v>
      </c>
      <c r="P192" s="87">
        <f t="shared" si="69"/>
        <v>56085070</v>
      </c>
      <c r="Q192" s="258"/>
      <c r="R192" s="194">
        <f>R193+R194+R195+R196+R199</f>
        <v>0</v>
      </c>
      <c r="S192" s="194">
        <f>S193+S194+S195+S196+S199</f>
        <v>0</v>
      </c>
      <c r="T192" s="194"/>
    </row>
    <row r="193" spans="1:20" s="4" customFormat="1" ht="45">
      <c r="A193" s="88" t="s">
        <v>220</v>
      </c>
      <c r="B193" s="88" t="str">
        <f>'дод. 4'!A14</f>
        <v>0160</v>
      </c>
      <c r="C193" s="88" t="str">
        <f>'дод. 4'!B14</f>
        <v>0111</v>
      </c>
      <c r="D193" s="89" t="str">
        <f>'дод. 4'!C14</f>
        <v>Керівництво і управління у відповідній сфері у містах (місті Києві), селищах, селах, об’єднаних територіальних громадах</v>
      </c>
      <c r="E193" s="90">
        <f>F193+I193</f>
        <v>1423100</v>
      </c>
      <c r="F193" s="90">
        <f>1461500-38400</f>
        <v>1423100</v>
      </c>
      <c r="G193" s="90">
        <v>1101670</v>
      </c>
      <c r="H193" s="90">
        <v>14960</v>
      </c>
      <c r="I193" s="90"/>
      <c r="J193" s="90">
        <f aca="true" t="shared" si="70" ref="J193:J199">K193+N193</f>
        <v>10000</v>
      </c>
      <c r="K193" s="90"/>
      <c r="L193" s="90"/>
      <c r="M193" s="90"/>
      <c r="N193" s="90">
        <v>10000</v>
      </c>
      <c r="O193" s="90">
        <v>10000</v>
      </c>
      <c r="P193" s="90">
        <f>E193+J193</f>
        <v>1433100</v>
      </c>
      <c r="Q193" s="258"/>
      <c r="R193" s="187"/>
      <c r="S193" s="187"/>
      <c r="T193" s="187"/>
    </row>
    <row r="194" spans="1:20" s="4" customFormat="1" ht="52.5" customHeight="1">
      <c r="A194" s="88" t="s">
        <v>351</v>
      </c>
      <c r="B194" s="88" t="str">
        <f>'дод. 4'!A26</f>
        <v>1100</v>
      </c>
      <c r="C194" s="88" t="str">
        <f>'дод. 4'!B26</f>
        <v>0960</v>
      </c>
      <c r="D194" s="122" t="str">
        <f>'дод. 4'!C26</f>
        <v>Надання спеціальної освіти школами естетичного виховання (музичними, художніми, хореографічними, театральними, хоровими, мистецькими)</v>
      </c>
      <c r="E194" s="90">
        <f>F194+I194</f>
        <v>29862268</v>
      </c>
      <c r="F194" s="90">
        <f>29741300+75000+45968</f>
        <v>29862268</v>
      </c>
      <c r="G194" s="90">
        <v>23498774</v>
      </c>
      <c r="H194" s="90">
        <v>711900</v>
      </c>
      <c r="I194" s="90"/>
      <c r="J194" s="90">
        <f t="shared" si="70"/>
        <v>2325850</v>
      </c>
      <c r="K194" s="90">
        <f>2108830</f>
        <v>2108830</v>
      </c>
      <c r="L194" s="90">
        <v>1721450</v>
      </c>
      <c r="M194" s="90"/>
      <c r="N194" s="90">
        <f>200000+4720+12300</f>
        <v>217020</v>
      </c>
      <c r="O194" s="90">
        <f>200000+12300</f>
        <v>212300</v>
      </c>
      <c r="P194" s="90">
        <f>E194+J194</f>
        <v>32188118</v>
      </c>
      <c r="Q194" s="258"/>
      <c r="R194" s="187"/>
      <c r="S194" s="187"/>
      <c r="T194" s="187"/>
    </row>
    <row r="195" spans="1:20" s="4" customFormat="1" ht="21" customHeight="1">
      <c r="A195" s="88" t="s">
        <v>311</v>
      </c>
      <c r="B195" s="88" t="str">
        <f>'дод. 4'!A135</f>
        <v>4030</v>
      </c>
      <c r="C195" s="88" t="str">
        <f>'дод. 4'!B135</f>
        <v>0824</v>
      </c>
      <c r="D195" s="123" t="str">
        <f>'дод. 4'!C135</f>
        <v>Забезпечення діяльності бібліотек</v>
      </c>
      <c r="E195" s="90">
        <f>F195+I195</f>
        <v>16222670</v>
      </c>
      <c r="F195" s="90">
        <f>15733720+338000+149950+1000</f>
        <v>16222670</v>
      </c>
      <c r="G195" s="90">
        <v>11407051</v>
      </c>
      <c r="H195" s="90">
        <v>1115260</v>
      </c>
      <c r="I195" s="90"/>
      <c r="J195" s="90">
        <f t="shared" si="70"/>
        <v>1177050</v>
      </c>
      <c r="K195" s="90">
        <f>27000</f>
        <v>27000</v>
      </c>
      <c r="L195" s="90">
        <v>5000</v>
      </c>
      <c r="M195" s="90"/>
      <c r="N195" s="90">
        <f>300000+850050</f>
        <v>1150050</v>
      </c>
      <c r="O195" s="90">
        <f>300000+850050</f>
        <v>1150050</v>
      </c>
      <c r="P195" s="90">
        <f>E195+J195</f>
        <v>17399720</v>
      </c>
      <c r="Q195" s="258"/>
      <c r="R195" s="187"/>
      <c r="S195" s="187"/>
      <c r="T195" s="187"/>
    </row>
    <row r="196" spans="1:20" s="4" customFormat="1" ht="25.5" customHeight="1">
      <c r="A196" s="88" t="s">
        <v>312</v>
      </c>
      <c r="B196" s="88" t="str">
        <f>'дод. 4'!A137</f>
        <v>4080</v>
      </c>
      <c r="C196" s="88">
        <f>'дод. 4'!B137</f>
        <v>0</v>
      </c>
      <c r="D196" s="147" t="str">
        <f>'дод. 4'!C137</f>
        <v>Інші заклади та заходи в галузі культури і мистецтва</v>
      </c>
      <c r="E196" s="90">
        <f>E197+E198</f>
        <v>3306132</v>
      </c>
      <c r="F196" s="90">
        <f aca="true" t="shared" si="71" ref="F196:P196">F197+F198</f>
        <v>3306132</v>
      </c>
      <c r="G196" s="90">
        <f t="shared" si="71"/>
        <v>878134</v>
      </c>
      <c r="H196" s="90">
        <f t="shared" si="71"/>
        <v>20111</v>
      </c>
      <c r="I196" s="90">
        <f t="shared" si="71"/>
        <v>0</v>
      </c>
      <c r="J196" s="90">
        <f t="shared" si="71"/>
        <v>50000</v>
      </c>
      <c r="K196" s="90">
        <f t="shared" si="71"/>
        <v>0</v>
      </c>
      <c r="L196" s="90">
        <f t="shared" si="71"/>
        <v>0</v>
      </c>
      <c r="M196" s="90">
        <f t="shared" si="71"/>
        <v>0</v>
      </c>
      <c r="N196" s="90">
        <f t="shared" si="71"/>
        <v>50000</v>
      </c>
      <c r="O196" s="90">
        <f t="shared" si="71"/>
        <v>50000</v>
      </c>
      <c r="P196" s="90">
        <f t="shared" si="71"/>
        <v>3356132</v>
      </c>
      <c r="Q196" s="258">
        <v>21</v>
      </c>
      <c r="R196" s="188"/>
      <c r="S196" s="188"/>
      <c r="T196" s="188"/>
    </row>
    <row r="197" spans="1:20" s="134" customFormat="1" ht="33.75" customHeight="1">
      <c r="A197" s="101">
        <v>1014081</v>
      </c>
      <c r="B197" s="91" t="str">
        <f>'дод. 4'!A138</f>
        <v>4081</v>
      </c>
      <c r="C197" s="91" t="str">
        <f>'дод. 4'!B138</f>
        <v>0829</v>
      </c>
      <c r="D197" s="149" t="str">
        <f>'дод. 4'!C138</f>
        <v>Забезпечення діяльності інших закладів в галузі культури і мистецтва </v>
      </c>
      <c r="E197" s="93">
        <f>F197+I197</f>
        <v>1212180</v>
      </c>
      <c r="F197" s="93">
        <v>1212180</v>
      </c>
      <c r="G197" s="93">
        <v>878134</v>
      </c>
      <c r="H197" s="93">
        <v>20111</v>
      </c>
      <c r="I197" s="93"/>
      <c r="J197" s="93">
        <f t="shared" si="70"/>
        <v>50000</v>
      </c>
      <c r="K197" s="93"/>
      <c r="L197" s="93"/>
      <c r="M197" s="93"/>
      <c r="N197" s="93">
        <v>50000</v>
      </c>
      <c r="O197" s="93">
        <v>50000</v>
      </c>
      <c r="P197" s="93">
        <f>E197+J197</f>
        <v>1262180</v>
      </c>
      <c r="Q197" s="258"/>
      <c r="R197" s="189"/>
      <c r="S197" s="189"/>
      <c r="T197" s="189"/>
    </row>
    <row r="198" spans="1:20" s="134" customFormat="1" ht="25.5" customHeight="1">
      <c r="A198" s="101">
        <v>1014082</v>
      </c>
      <c r="B198" s="91" t="str">
        <f>'дод. 4'!A139</f>
        <v>4082</v>
      </c>
      <c r="C198" s="91" t="str">
        <f>'дод. 4'!B139</f>
        <v>0829</v>
      </c>
      <c r="D198" s="149" t="str">
        <f>'дод. 4'!C139</f>
        <v>Інші заходи в галузі культури і мистецтва</v>
      </c>
      <c r="E198" s="93">
        <f>F198+I198</f>
        <v>2093952</v>
      </c>
      <c r="F198" s="93">
        <f>1900000+193952</f>
        <v>2093952</v>
      </c>
      <c r="G198" s="93"/>
      <c r="H198" s="93"/>
      <c r="I198" s="93"/>
      <c r="J198" s="93">
        <f t="shared" si="70"/>
        <v>0</v>
      </c>
      <c r="K198" s="93"/>
      <c r="L198" s="93"/>
      <c r="M198" s="93"/>
      <c r="N198" s="93"/>
      <c r="O198" s="93"/>
      <c r="P198" s="93">
        <f>E198+J198</f>
        <v>2093952</v>
      </c>
      <c r="Q198" s="258"/>
      <c r="R198" s="189"/>
      <c r="S198" s="189"/>
      <c r="T198" s="189"/>
    </row>
    <row r="199" spans="1:20" s="4" customFormat="1" ht="22.5" customHeight="1">
      <c r="A199" s="88" t="s">
        <v>233</v>
      </c>
      <c r="B199" s="88" t="str">
        <f>'дод. 4'!A183</f>
        <v>7640</v>
      </c>
      <c r="C199" s="88" t="str">
        <f>'дод. 4'!B183</f>
        <v>0470</v>
      </c>
      <c r="D199" s="123" t="str">
        <f>'дод. 4'!C183</f>
        <v>Заходи з енергозбереження</v>
      </c>
      <c r="E199" s="90">
        <f>F199+I199</f>
        <v>60000</v>
      </c>
      <c r="F199" s="90">
        <v>60000</v>
      </c>
      <c r="G199" s="90"/>
      <c r="H199" s="90"/>
      <c r="I199" s="90"/>
      <c r="J199" s="90">
        <f t="shared" si="70"/>
        <v>1648000</v>
      </c>
      <c r="K199" s="90"/>
      <c r="L199" s="90"/>
      <c r="M199" s="90"/>
      <c r="N199" s="90">
        <v>1648000</v>
      </c>
      <c r="O199" s="90">
        <v>1648000</v>
      </c>
      <c r="P199" s="90">
        <f>E199+J199</f>
        <v>1708000</v>
      </c>
      <c r="Q199" s="258"/>
      <c r="R199" s="187"/>
      <c r="S199" s="187"/>
      <c r="T199" s="187"/>
    </row>
    <row r="200" spans="1:20" s="129" customFormat="1" ht="28.5">
      <c r="A200" s="127" t="s">
        <v>313</v>
      </c>
      <c r="B200" s="37"/>
      <c r="C200" s="37"/>
      <c r="D200" s="36" t="s">
        <v>63</v>
      </c>
      <c r="E200" s="47">
        <f>E201</f>
        <v>86058061.7</v>
      </c>
      <c r="F200" s="47">
        <f aca="true" t="shared" si="72" ref="F200:P200">F201</f>
        <v>76018226</v>
      </c>
      <c r="G200" s="47">
        <f t="shared" si="72"/>
        <v>7603186.1</v>
      </c>
      <c r="H200" s="47">
        <f t="shared" si="72"/>
        <v>17608620</v>
      </c>
      <c r="I200" s="47">
        <f t="shared" si="72"/>
        <v>10039835.7</v>
      </c>
      <c r="J200" s="47">
        <f t="shared" si="72"/>
        <v>129404599</v>
      </c>
      <c r="K200" s="47">
        <f t="shared" si="72"/>
        <v>1791500</v>
      </c>
      <c r="L200" s="47">
        <f t="shared" si="72"/>
        <v>0</v>
      </c>
      <c r="M200" s="47">
        <f t="shared" si="72"/>
        <v>0</v>
      </c>
      <c r="N200" s="47">
        <f t="shared" si="72"/>
        <v>127613099</v>
      </c>
      <c r="O200" s="47">
        <f t="shared" si="72"/>
        <v>125273099</v>
      </c>
      <c r="P200" s="47">
        <f t="shared" si="72"/>
        <v>215462660.7</v>
      </c>
      <c r="Q200" s="258"/>
      <c r="R200" s="185"/>
      <c r="S200" s="185"/>
      <c r="T200" s="185"/>
    </row>
    <row r="201" spans="1:20" s="132" customFormat="1" ht="30">
      <c r="A201" s="130" t="s">
        <v>314</v>
      </c>
      <c r="B201" s="144"/>
      <c r="C201" s="144"/>
      <c r="D201" s="143" t="s">
        <v>63</v>
      </c>
      <c r="E201" s="87">
        <f>E202+E203+E204+E209+E210+E211+E212+E213+E214+E215+E216+E218+E219+E220</f>
        <v>86058061.7</v>
      </c>
      <c r="F201" s="87">
        <f aca="true" t="shared" si="73" ref="F201:P201">F202+F203+F204+F209+F210+F211+F212+F213+F214+F215+F216+F218+F219+F220</f>
        <v>76018226</v>
      </c>
      <c r="G201" s="87">
        <f t="shared" si="73"/>
        <v>7603186.1</v>
      </c>
      <c r="H201" s="87">
        <f t="shared" si="73"/>
        <v>17608620</v>
      </c>
      <c r="I201" s="87">
        <f t="shared" si="73"/>
        <v>10039835.7</v>
      </c>
      <c r="J201" s="87">
        <f t="shared" si="73"/>
        <v>129404599</v>
      </c>
      <c r="K201" s="87">
        <f t="shared" si="73"/>
        <v>1791500</v>
      </c>
      <c r="L201" s="87">
        <f t="shared" si="73"/>
        <v>0</v>
      </c>
      <c r="M201" s="87">
        <f t="shared" si="73"/>
        <v>0</v>
      </c>
      <c r="N201" s="87">
        <f t="shared" si="73"/>
        <v>127613099</v>
      </c>
      <c r="O201" s="87">
        <f t="shared" si="73"/>
        <v>125273099</v>
      </c>
      <c r="P201" s="87">
        <f t="shared" si="73"/>
        <v>215462660.7</v>
      </c>
      <c r="Q201" s="258"/>
      <c r="R201" s="194"/>
      <c r="S201" s="194"/>
      <c r="T201" s="194"/>
    </row>
    <row r="202" spans="1:20" s="4" customFormat="1" ht="45">
      <c r="A202" s="88" t="s">
        <v>315</v>
      </c>
      <c r="B202" s="88" t="str">
        <f>'дод. 4'!A14</f>
        <v>0160</v>
      </c>
      <c r="C202" s="88" t="str">
        <f>'дод. 4'!B14</f>
        <v>0111</v>
      </c>
      <c r="D202" s="89" t="str">
        <f>'дод. 4'!C14</f>
        <v>Керівництво і управління у відповідній сфері у містах (місті Києві), селищах, селах, об’єднаних територіальних громадах</v>
      </c>
      <c r="E202" s="90">
        <f>F202+I202</f>
        <v>9699700</v>
      </c>
      <c r="F202" s="90">
        <f>9793300-93600</f>
        <v>9699700</v>
      </c>
      <c r="G202" s="90">
        <v>7590891</v>
      </c>
      <c r="H202" s="90">
        <v>102300</v>
      </c>
      <c r="I202" s="90"/>
      <c r="J202" s="90">
        <f>K202+N202</f>
        <v>62500</v>
      </c>
      <c r="K202" s="90"/>
      <c r="L202" s="90"/>
      <c r="M202" s="90"/>
      <c r="N202" s="90">
        <f>200000-137500</f>
        <v>62500</v>
      </c>
      <c r="O202" s="90">
        <f>200000-137500</f>
        <v>62500</v>
      </c>
      <c r="P202" s="90">
        <f>E202+J202</f>
        <v>9762200</v>
      </c>
      <c r="Q202" s="258"/>
      <c r="R202" s="187"/>
      <c r="S202" s="187"/>
      <c r="T202" s="187"/>
    </row>
    <row r="203" spans="1:20" s="4" customFormat="1" ht="19.5" customHeight="1">
      <c r="A203" s="98" t="s">
        <v>474</v>
      </c>
      <c r="B203" s="98" t="str">
        <f>'дод. 4'!A128</f>
        <v>3210</v>
      </c>
      <c r="C203" s="98" t="str">
        <f>'дод. 4'!B128</f>
        <v>1050</v>
      </c>
      <c r="D203" s="148" t="str">
        <f>'дод. 4'!C128</f>
        <v>Організація та проведення громадських робіт</v>
      </c>
      <c r="E203" s="90">
        <f>F203+I203</f>
        <v>565000</v>
      </c>
      <c r="F203" s="90">
        <v>565000</v>
      </c>
      <c r="G203" s="90">
        <v>12295.1</v>
      </c>
      <c r="H203" s="90"/>
      <c r="I203" s="90"/>
      <c r="J203" s="90">
        <f aca="true" t="shared" si="74" ref="J203:J220">K203+N203</f>
        <v>0</v>
      </c>
      <c r="K203" s="90"/>
      <c r="L203" s="90"/>
      <c r="M203" s="90"/>
      <c r="N203" s="90"/>
      <c r="O203" s="90"/>
      <c r="P203" s="90">
        <f>E203+J203</f>
        <v>565000</v>
      </c>
      <c r="Q203" s="258"/>
      <c r="R203" s="187"/>
      <c r="S203" s="187"/>
      <c r="T203" s="187"/>
    </row>
    <row r="204" spans="1:20" s="4" customFormat="1" ht="30">
      <c r="A204" s="88" t="s">
        <v>316</v>
      </c>
      <c r="B204" s="88" t="str">
        <f>'дод. 4'!A151</f>
        <v>6010</v>
      </c>
      <c r="C204" s="88">
        <f>'дод. 4'!B151</f>
        <v>0</v>
      </c>
      <c r="D204" s="147" t="str">
        <f>'дод. 4'!C151</f>
        <v>Утримання та ефективна експлуатація об’єктів житлово-комунального господарства</v>
      </c>
      <c r="E204" s="90">
        <f>E205+E206+E207+E208</f>
        <v>4799000</v>
      </c>
      <c r="F204" s="90">
        <f aca="true" t="shared" si="75" ref="F204:P204">F205+F206+F207+F208</f>
        <v>1703000</v>
      </c>
      <c r="G204" s="90">
        <f t="shared" si="75"/>
        <v>0</v>
      </c>
      <c r="H204" s="90">
        <f t="shared" si="75"/>
        <v>0</v>
      </c>
      <c r="I204" s="90">
        <f t="shared" si="75"/>
        <v>3096000</v>
      </c>
      <c r="J204" s="90">
        <f t="shared" si="75"/>
        <v>60750000</v>
      </c>
      <c r="K204" s="90">
        <f t="shared" si="75"/>
        <v>0</v>
      </c>
      <c r="L204" s="90">
        <f t="shared" si="75"/>
        <v>0</v>
      </c>
      <c r="M204" s="90">
        <f t="shared" si="75"/>
        <v>0</v>
      </c>
      <c r="N204" s="90">
        <f t="shared" si="75"/>
        <v>60750000</v>
      </c>
      <c r="O204" s="90">
        <f t="shared" si="75"/>
        <v>60750000</v>
      </c>
      <c r="P204" s="90">
        <f t="shared" si="75"/>
        <v>65549000</v>
      </c>
      <c r="Q204" s="258"/>
      <c r="R204" s="188"/>
      <c r="S204" s="188"/>
      <c r="T204" s="188"/>
    </row>
    <row r="205" spans="1:20" s="134" customFormat="1" ht="30">
      <c r="A205" s="91" t="s">
        <v>317</v>
      </c>
      <c r="B205" s="91" t="str">
        <f>'дод. 4'!A152</f>
        <v>6011</v>
      </c>
      <c r="C205" s="91" t="str">
        <f>'дод. 4'!B152</f>
        <v>0620</v>
      </c>
      <c r="D205" s="149" t="str">
        <f>'дод. 4'!C152</f>
        <v>Експлуатація та технічне обслуговування житлового фонду</v>
      </c>
      <c r="E205" s="93">
        <f aca="true" t="shared" si="76" ref="E205:E215">F205+I205</f>
        <v>0</v>
      </c>
      <c r="F205" s="93"/>
      <c r="G205" s="93"/>
      <c r="H205" s="93"/>
      <c r="I205" s="93"/>
      <c r="J205" s="93">
        <f t="shared" si="74"/>
        <v>30750000</v>
      </c>
      <c r="K205" s="93"/>
      <c r="L205" s="93"/>
      <c r="M205" s="93"/>
      <c r="N205" s="93">
        <f>20000000+15000000-150000-4100000</f>
        <v>30750000</v>
      </c>
      <c r="O205" s="93">
        <f>20000000+15000000-150000-4100000</f>
        <v>30750000</v>
      </c>
      <c r="P205" s="93">
        <f aca="true" t="shared" si="77" ref="P205:P215">E205+J205</f>
        <v>30750000</v>
      </c>
      <c r="Q205" s="258"/>
      <c r="R205" s="189"/>
      <c r="S205" s="189"/>
      <c r="T205" s="189"/>
    </row>
    <row r="206" spans="1:20" s="134" customFormat="1" ht="30">
      <c r="A206" s="91" t="s">
        <v>318</v>
      </c>
      <c r="B206" s="91" t="str">
        <f>'дод. 4'!A153</f>
        <v>6013</v>
      </c>
      <c r="C206" s="91" t="str">
        <f>'дод. 4'!B153</f>
        <v>0620</v>
      </c>
      <c r="D206" s="149" t="str">
        <f>'дод. 4'!C153</f>
        <v>Забезпечення діяльності водопровідно-каналізаційного господарства</v>
      </c>
      <c r="E206" s="93">
        <f t="shared" si="76"/>
        <v>3296000</v>
      </c>
      <c r="F206" s="93">
        <f>200000</f>
        <v>200000</v>
      </c>
      <c r="G206" s="93"/>
      <c r="H206" s="93"/>
      <c r="I206" s="93">
        <v>3096000</v>
      </c>
      <c r="J206" s="93">
        <f t="shared" si="74"/>
        <v>0</v>
      </c>
      <c r="K206" s="93"/>
      <c r="L206" s="93"/>
      <c r="M206" s="93"/>
      <c r="N206" s="93"/>
      <c r="O206" s="93"/>
      <c r="P206" s="93">
        <f t="shared" si="77"/>
        <v>3296000</v>
      </c>
      <c r="Q206" s="258"/>
      <c r="R206" s="189"/>
      <c r="S206" s="189"/>
      <c r="T206" s="189"/>
    </row>
    <row r="207" spans="1:20" s="134" customFormat="1" ht="30">
      <c r="A207" s="91" t="s">
        <v>405</v>
      </c>
      <c r="B207" s="91" t="str">
        <f>'дод. 4'!A154</f>
        <v>6015</v>
      </c>
      <c r="C207" s="91" t="str">
        <f>'дод. 4'!B154</f>
        <v>0620</v>
      </c>
      <c r="D207" s="149" t="str">
        <f>'дод. 4'!C154</f>
        <v>Забезпечення надійної та безперебійної експлуатації ліфтів</v>
      </c>
      <c r="E207" s="93">
        <f t="shared" si="76"/>
        <v>503000</v>
      </c>
      <c r="F207" s="93">
        <f>350000+153000</f>
        <v>503000</v>
      </c>
      <c r="G207" s="93"/>
      <c r="H207" s="93"/>
      <c r="I207" s="93"/>
      <c r="J207" s="93">
        <f>K207+N207</f>
        <v>30000000</v>
      </c>
      <c r="K207" s="93"/>
      <c r="L207" s="93"/>
      <c r="M207" s="93"/>
      <c r="N207" s="93">
        <f>20000000+10000000</f>
        <v>30000000</v>
      </c>
      <c r="O207" s="93">
        <f>20000000+10000000</f>
        <v>30000000</v>
      </c>
      <c r="P207" s="93">
        <f t="shared" si="77"/>
        <v>30503000</v>
      </c>
      <c r="Q207" s="258"/>
      <c r="R207" s="189"/>
      <c r="S207" s="189"/>
      <c r="T207" s="189"/>
    </row>
    <row r="208" spans="1:20" s="134" customFormat="1" ht="38.25" customHeight="1">
      <c r="A208" s="91" t="s">
        <v>408</v>
      </c>
      <c r="B208" s="91" t="str">
        <f>'дод. 4'!A155</f>
        <v>6017</v>
      </c>
      <c r="C208" s="91" t="str">
        <f>'дод. 4'!B155</f>
        <v>0620</v>
      </c>
      <c r="D208" s="149" t="str">
        <f>'дод. 4'!C155</f>
        <v>Інша діяльність, пов’язана з експлуатацією об’єктів житлово-комунального господарства </v>
      </c>
      <c r="E208" s="93">
        <f t="shared" si="76"/>
        <v>1000000</v>
      </c>
      <c r="F208" s="93">
        <v>1000000</v>
      </c>
      <c r="G208" s="93"/>
      <c r="H208" s="93"/>
      <c r="I208" s="93"/>
      <c r="J208" s="93">
        <f t="shared" si="74"/>
        <v>0</v>
      </c>
      <c r="K208" s="93"/>
      <c r="L208" s="93"/>
      <c r="M208" s="93"/>
      <c r="N208" s="93"/>
      <c r="O208" s="93"/>
      <c r="P208" s="93">
        <f t="shared" si="77"/>
        <v>1000000</v>
      </c>
      <c r="Q208" s="258"/>
      <c r="R208" s="189"/>
      <c r="S208" s="189"/>
      <c r="T208" s="189"/>
    </row>
    <row r="209" spans="1:20" s="134" customFormat="1" ht="45">
      <c r="A209" s="94" t="s">
        <v>319</v>
      </c>
      <c r="B209" s="94" t="str">
        <f>'дод. 4'!A156</f>
        <v>6020</v>
      </c>
      <c r="C209" s="94" t="str">
        <f>'дод. 4'!B156</f>
        <v>0620</v>
      </c>
      <c r="D209" s="120" t="str">
        <f>'дод. 4'!C156</f>
        <v>Забезпечення функціонування підприємств, установ та організацій, що виробляють, виконують та/або надають житлово-комунальні послуги</v>
      </c>
      <c r="E209" s="96">
        <f t="shared" si="76"/>
        <v>6402960.7</v>
      </c>
      <c r="F209" s="96"/>
      <c r="G209" s="96"/>
      <c r="H209" s="96"/>
      <c r="I209" s="96">
        <f>300000+6102960.7</f>
        <v>6402960.7</v>
      </c>
      <c r="J209" s="96">
        <f t="shared" si="74"/>
        <v>0</v>
      </c>
      <c r="K209" s="96"/>
      <c r="L209" s="96"/>
      <c r="M209" s="96"/>
      <c r="N209" s="96"/>
      <c r="O209" s="96"/>
      <c r="P209" s="96">
        <f t="shared" si="77"/>
        <v>6402960.7</v>
      </c>
      <c r="Q209" s="258"/>
      <c r="R209" s="187"/>
      <c r="S209" s="187"/>
      <c r="T209" s="187"/>
    </row>
    <row r="210" spans="1:20" s="4" customFormat="1" ht="21.75" customHeight="1">
      <c r="A210" s="94" t="s">
        <v>320</v>
      </c>
      <c r="B210" s="94" t="str">
        <f>'дод. 4'!A157</f>
        <v>6030</v>
      </c>
      <c r="C210" s="94" t="str">
        <f>'дод. 4'!B157</f>
        <v>0620</v>
      </c>
      <c r="D210" s="120" t="str">
        <f>'дод. 4'!C157</f>
        <v>Організація благоустрою населених пунктів</v>
      </c>
      <c r="E210" s="96">
        <f t="shared" si="76"/>
        <v>59742631</v>
      </c>
      <c r="F210" s="96">
        <f>51058210+4128000+3150000+2000000-428011-345568</f>
        <v>59562631</v>
      </c>
      <c r="G210" s="96"/>
      <c r="H210" s="96">
        <f>16966320+500000</f>
        <v>17466320</v>
      </c>
      <c r="I210" s="96">
        <v>180000</v>
      </c>
      <c r="J210" s="96">
        <f t="shared" si="74"/>
        <v>49813799</v>
      </c>
      <c r="K210" s="96"/>
      <c r="L210" s="96"/>
      <c r="M210" s="96"/>
      <c r="N210" s="96">
        <f>37188104+9000000+9000000+3150000-1000000-312300+497824+499005+500000-8558834-150000</f>
        <v>49813799</v>
      </c>
      <c r="O210" s="96">
        <f>37188104+9000000+9000000+3150000-1000000-312300+497824+499005+500000-8558834-150000</f>
        <v>49813799</v>
      </c>
      <c r="P210" s="96">
        <f t="shared" si="77"/>
        <v>109556430</v>
      </c>
      <c r="Q210" s="258"/>
      <c r="R210" s="187"/>
      <c r="S210" s="187"/>
      <c r="T210" s="196"/>
    </row>
    <row r="211" spans="1:20" s="4" customFormat="1" ht="31.5" customHeight="1">
      <c r="A211" s="94" t="s">
        <v>396</v>
      </c>
      <c r="B211" s="94" t="str">
        <f>'дод. 4'!A160</f>
        <v>6090</v>
      </c>
      <c r="C211" s="94" t="str">
        <f>'дод. 4'!B160</f>
        <v>0640</v>
      </c>
      <c r="D211" s="120" t="str">
        <f>'дод. 4'!C160</f>
        <v>Інша діяльність у сфері житлово-комунального господарства</v>
      </c>
      <c r="E211" s="96">
        <f t="shared" si="76"/>
        <v>2512170</v>
      </c>
      <c r="F211" s="96">
        <f>391104+1450191+670875-160875</f>
        <v>2351295</v>
      </c>
      <c r="G211" s="96"/>
      <c r="H211" s="96">
        <f>30000+10000</f>
        <v>40000</v>
      </c>
      <c r="I211" s="96">
        <v>160875</v>
      </c>
      <c r="J211" s="96">
        <f t="shared" si="74"/>
        <v>0</v>
      </c>
      <c r="K211" s="96"/>
      <c r="L211" s="96"/>
      <c r="M211" s="96"/>
      <c r="N211" s="96"/>
      <c r="O211" s="96"/>
      <c r="P211" s="96">
        <f t="shared" si="77"/>
        <v>2512170</v>
      </c>
      <c r="Q211" s="258"/>
      <c r="R211" s="187"/>
      <c r="S211" s="187"/>
      <c r="T211" s="187"/>
    </row>
    <row r="212" spans="1:20" s="4" customFormat="1" ht="36.75" customHeight="1">
      <c r="A212" s="94" t="s">
        <v>424</v>
      </c>
      <c r="B212" s="94" t="str">
        <f>'дод. 4'!A165</f>
        <v>7310</v>
      </c>
      <c r="C212" s="94" t="str">
        <f>'дод. 4'!B165</f>
        <v>0443</v>
      </c>
      <c r="D212" s="120" t="str">
        <f>'дод. 4'!C165</f>
        <v>Будівництво об'єктів житлово-комунального господарства</v>
      </c>
      <c r="E212" s="96">
        <f t="shared" si="76"/>
        <v>0</v>
      </c>
      <c r="F212" s="96"/>
      <c r="G212" s="96"/>
      <c r="H212" s="96"/>
      <c r="I212" s="96"/>
      <c r="J212" s="96">
        <f>K212+N212</f>
        <v>4500000</v>
      </c>
      <c r="K212" s="96"/>
      <c r="L212" s="96"/>
      <c r="M212" s="96"/>
      <c r="N212" s="96">
        <f>2000000+500000+2000000</f>
        <v>4500000</v>
      </c>
      <c r="O212" s="96">
        <f>2000000+500000+2000000</f>
        <v>4500000</v>
      </c>
      <c r="P212" s="96">
        <f t="shared" si="77"/>
        <v>4500000</v>
      </c>
      <c r="Q212" s="258"/>
      <c r="R212" s="187"/>
      <c r="S212" s="187"/>
      <c r="T212" s="187"/>
    </row>
    <row r="213" spans="1:20" s="4" customFormat="1" ht="40.5" customHeight="1">
      <c r="A213" s="94" t="s">
        <v>426</v>
      </c>
      <c r="B213" s="94" t="str">
        <f>'дод. 4'!A170</f>
        <v>7330</v>
      </c>
      <c r="C213" s="94" t="str">
        <f>'дод. 4'!B170</f>
        <v>0443</v>
      </c>
      <c r="D213" s="120" t="str">
        <f>'дод. 4'!C170</f>
        <v>Будівництво інших об'єктів соціальної та виробничої інфраструктури комунальної власності</v>
      </c>
      <c r="E213" s="96">
        <f t="shared" si="76"/>
        <v>0</v>
      </c>
      <c r="F213" s="96"/>
      <c r="G213" s="96"/>
      <c r="H213" s="96"/>
      <c r="I213" s="96"/>
      <c r="J213" s="96">
        <f>K213+N213</f>
        <v>5726800</v>
      </c>
      <c r="K213" s="96"/>
      <c r="L213" s="96"/>
      <c r="M213" s="96"/>
      <c r="N213" s="96">
        <f>1000000+4100000+250000+376800</f>
        <v>5726800</v>
      </c>
      <c r="O213" s="96">
        <f>1000000+4100000+250000+376800</f>
        <v>5726800</v>
      </c>
      <c r="P213" s="96">
        <f t="shared" si="77"/>
        <v>5726800</v>
      </c>
      <c r="Q213" s="258"/>
      <c r="R213" s="187"/>
      <c r="S213" s="187"/>
      <c r="T213" s="187"/>
    </row>
    <row r="214" spans="1:20" s="4" customFormat="1" ht="36" customHeight="1">
      <c r="A214" s="94" t="s">
        <v>321</v>
      </c>
      <c r="B214" s="94" t="str">
        <f>'дод. 4'!A171</f>
        <v>7340</v>
      </c>
      <c r="C214" s="94" t="str">
        <f>'дод. 4'!B171</f>
        <v>0443</v>
      </c>
      <c r="D214" s="120" t="str">
        <f>'дод. 4'!C171</f>
        <v>Проектування, реставрація та охорона пам'яток архітектури</v>
      </c>
      <c r="E214" s="96">
        <f t="shared" si="76"/>
        <v>0</v>
      </c>
      <c r="F214" s="96"/>
      <c r="G214" s="96"/>
      <c r="H214" s="96"/>
      <c r="I214" s="96"/>
      <c r="J214" s="96">
        <f t="shared" si="74"/>
        <v>3200000</v>
      </c>
      <c r="K214" s="96"/>
      <c r="L214" s="96"/>
      <c r="M214" s="96"/>
      <c r="N214" s="96">
        <f>1200000+2000000</f>
        <v>3200000</v>
      </c>
      <c r="O214" s="96">
        <f>1200000+2000000</f>
        <v>3200000</v>
      </c>
      <c r="P214" s="96">
        <f t="shared" si="77"/>
        <v>3200000</v>
      </c>
      <c r="Q214" s="258"/>
      <c r="R214" s="187"/>
      <c r="S214" s="187"/>
      <c r="T214" s="187"/>
    </row>
    <row r="215" spans="1:20" s="4" customFormat="1" ht="24" customHeight="1">
      <c r="A215" s="94" t="s">
        <v>322</v>
      </c>
      <c r="B215" s="94" t="str">
        <f>'дод. 4'!A183</f>
        <v>7640</v>
      </c>
      <c r="C215" s="94" t="str">
        <f>'дод. 4'!B183</f>
        <v>0470</v>
      </c>
      <c r="D215" s="126" t="str">
        <f>'дод. 4'!C183</f>
        <v>Заходи з енергозбереження</v>
      </c>
      <c r="E215" s="96">
        <f t="shared" si="76"/>
        <v>1500000</v>
      </c>
      <c r="F215" s="96">
        <v>1300000</v>
      </c>
      <c r="G215" s="96"/>
      <c r="H215" s="96"/>
      <c r="I215" s="96">
        <v>200000</v>
      </c>
      <c r="J215" s="96">
        <f t="shared" si="74"/>
        <v>0</v>
      </c>
      <c r="K215" s="96"/>
      <c r="L215" s="96"/>
      <c r="M215" s="96"/>
      <c r="N215" s="96">
        <f>2000000-2000000</f>
        <v>0</v>
      </c>
      <c r="O215" s="96">
        <f>2000000-2000000</f>
        <v>0</v>
      </c>
      <c r="P215" s="96">
        <f t="shared" si="77"/>
        <v>1500000</v>
      </c>
      <c r="Q215" s="258"/>
      <c r="R215" s="187"/>
      <c r="S215" s="187"/>
      <c r="T215" s="187"/>
    </row>
    <row r="216" spans="1:20" s="4" customFormat="1" ht="21.75" customHeight="1">
      <c r="A216" s="94" t="s">
        <v>323</v>
      </c>
      <c r="B216" s="94" t="str">
        <f>'дод. 4'!A188</f>
        <v>7690</v>
      </c>
      <c r="C216" s="94">
        <f>'дод. 4'!B188</f>
        <v>0</v>
      </c>
      <c r="D216" s="126" t="str">
        <f>'дод. 4'!C188</f>
        <v>Інша економічна діяльність</v>
      </c>
      <c r="E216" s="96">
        <f>E217</f>
        <v>0</v>
      </c>
      <c r="F216" s="96">
        <f aca="true" t="shared" si="78" ref="F216:P216">F217</f>
        <v>0</v>
      </c>
      <c r="G216" s="96">
        <f t="shared" si="78"/>
        <v>0</v>
      </c>
      <c r="H216" s="96">
        <f t="shared" si="78"/>
        <v>0</v>
      </c>
      <c r="I216" s="96">
        <f t="shared" si="78"/>
        <v>0</v>
      </c>
      <c r="J216" s="96">
        <f t="shared" si="78"/>
        <v>880000</v>
      </c>
      <c r="K216" s="96">
        <f t="shared" si="78"/>
        <v>80000</v>
      </c>
      <c r="L216" s="96">
        <f t="shared" si="78"/>
        <v>0</v>
      </c>
      <c r="M216" s="96">
        <f t="shared" si="78"/>
        <v>0</v>
      </c>
      <c r="N216" s="96">
        <f t="shared" si="78"/>
        <v>800000</v>
      </c>
      <c r="O216" s="96">
        <f t="shared" si="78"/>
        <v>0</v>
      </c>
      <c r="P216" s="96">
        <f t="shared" si="78"/>
        <v>880000</v>
      </c>
      <c r="Q216" s="258"/>
      <c r="R216" s="188"/>
      <c r="S216" s="188"/>
      <c r="T216" s="188"/>
    </row>
    <row r="217" spans="1:20" s="134" customFormat="1" ht="114.75" customHeight="1">
      <c r="A217" s="135" t="s">
        <v>472</v>
      </c>
      <c r="B217" s="112">
        <v>7691</v>
      </c>
      <c r="C217" s="112" t="s">
        <v>126</v>
      </c>
      <c r="D217" s="92" t="s">
        <v>501</v>
      </c>
      <c r="E217" s="93">
        <f>F217+I217</f>
        <v>0</v>
      </c>
      <c r="F217" s="93"/>
      <c r="G217" s="93"/>
      <c r="H217" s="93"/>
      <c r="I217" s="93"/>
      <c r="J217" s="93">
        <f t="shared" si="74"/>
        <v>880000</v>
      </c>
      <c r="K217" s="93">
        <v>80000</v>
      </c>
      <c r="L217" s="93"/>
      <c r="M217" s="93"/>
      <c r="N217" s="93">
        <v>800000</v>
      </c>
      <c r="O217" s="93"/>
      <c r="P217" s="93">
        <f>E217+J217</f>
        <v>880000</v>
      </c>
      <c r="Q217" s="258"/>
      <c r="R217" s="189"/>
      <c r="S217" s="189"/>
      <c r="T217" s="189"/>
    </row>
    <row r="218" spans="1:20" s="4" customFormat="1" ht="21.75" customHeight="1">
      <c r="A218" s="94" t="s">
        <v>324</v>
      </c>
      <c r="B218" s="94" t="str">
        <f>'дод. 4'!A198</f>
        <v>8320</v>
      </c>
      <c r="C218" s="94" t="str">
        <f>'дод. 4'!B198</f>
        <v>0520</v>
      </c>
      <c r="D218" s="126" t="str">
        <f>'дод. 4'!C198</f>
        <v>Збереження природно-заповідного фонду</v>
      </c>
      <c r="E218" s="96">
        <f>F218+I218</f>
        <v>76600</v>
      </c>
      <c r="F218" s="96">
        <v>76600</v>
      </c>
      <c r="G218" s="96"/>
      <c r="H218" s="96"/>
      <c r="I218" s="96"/>
      <c r="J218" s="96">
        <f t="shared" si="74"/>
        <v>0</v>
      </c>
      <c r="K218" s="96"/>
      <c r="L218" s="96"/>
      <c r="M218" s="96"/>
      <c r="N218" s="96"/>
      <c r="O218" s="96"/>
      <c r="P218" s="96">
        <f>E218+J218</f>
        <v>76600</v>
      </c>
      <c r="Q218" s="258"/>
      <c r="R218" s="187"/>
      <c r="S218" s="187"/>
      <c r="T218" s="187"/>
    </row>
    <row r="219" spans="1:20" s="4" customFormat="1" ht="22.5" customHeight="1">
      <c r="A219" s="94" t="s">
        <v>325</v>
      </c>
      <c r="B219" s="94" t="str">
        <f>'дод. 4'!A199</f>
        <v>8340</v>
      </c>
      <c r="C219" s="94" t="str">
        <f>'дод. 4'!B199</f>
        <v>0540</v>
      </c>
      <c r="D219" s="126" t="str">
        <f>'дод. 4'!C199</f>
        <v>Природоохоронні заходи за рахунок цільових фондів</v>
      </c>
      <c r="E219" s="96">
        <f>F219+I219</f>
        <v>0</v>
      </c>
      <c r="F219" s="96"/>
      <c r="G219" s="96"/>
      <c r="H219" s="96"/>
      <c r="I219" s="96"/>
      <c r="J219" s="96">
        <f t="shared" si="74"/>
        <v>3251500</v>
      </c>
      <c r="K219" s="96">
        <v>1711500</v>
      </c>
      <c r="L219" s="96"/>
      <c r="M219" s="96"/>
      <c r="N219" s="96">
        <f>1540000-1000000+1000000</f>
        <v>1540000</v>
      </c>
      <c r="O219" s="96"/>
      <c r="P219" s="96">
        <f>E219+J219</f>
        <v>3251500</v>
      </c>
      <c r="Q219" s="258"/>
      <c r="R219" s="187"/>
      <c r="S219" s="187"/>
      <c r="T219" s="187"/>
    </row>
    <row r="220" spans="1:20" s="4" customFormat="1" ht="24.75" customHeight="1">
      <c r="A220" s="94" t="s">
        <v>326</v>
      </c>
      <c r="B220" s="94" t="str">
        <f>'дод. 4'!A208</f>
        <v>9770</v>
      </c>
      <c r="C220" s="94" t="str">
        <f>'дод. 4'!B208</f>
        <v>0180</v>
      </c>
      <c r="D220" s="126" t="str">
        <f>'дод. 4'!C208</f>
        <v>Інші субвенції з місцевого бюджету </v>
      </c>
      <c r="E220" s="96">
        <f>F220+I220</f>
        <v>760000</v>
      </c>
      <c r="F220" s="96">
        <v>760000</v>
      </c>
      <c r="G220" s="96"/>
      <c r="H220" s="96"/>
      <c r="I220" s="96"/>
      <c r="J220" s="96">
        <f t="shared" si="74"/>
        <v>1220000</v>
      </c>
      <c r="K220" s="96"/>
      <c r="L220" s="96"/>
      <c r="M220" s="96"/>
      <c r="N220" s="96">
        <v>1220000</v>
      </c>
      <c r="O220" s="96">
        <v>1220000</v>
      </c>
      <c r="P220" s="96">
        <f>E220+J220</f>
        <v>1980000</v>
      </c>
      <c r="Q220" s="258"/>
      <c r="R220" s="187"/>
      <c r="S220" s="187"/>
      <c r="T220" s="187"/>
    </row>
    <row r="221" spans="1:20" s="129" customFormat="1" ht="28.5" customHeight="1">
      <c r="A221" s="127" t="s">
        <v>52</v>
      </c>
      <c r="B221" s="37"/>
      <c r="C221" s="37"/>
      <c r="D221" s="36" t="s">
        <v>66</v>
      </c>
      <c r="E221" s="47">
        <f>E222</f>
        <v>5004000</v>
      </c>
      <c r="F221" s="47">
        <f aca="true" t="shared" si="79" ref="F221:P221">F222</f>
        <v>5004000</v>
      </c>
      <c r="G221" s="47">
        <f t="shared" si="79"/>
        <v>3515000</v>
      </c>
      <c r="H221" s="47">
        <f t="shared" si="79"/>
        <v>81850</v>
      </c>
      <c r="I221" s="47">
        <f t="shared" si="79"/>
        <v>0</v>
      </c>
      <c r="J221" s="47">
        <f t="shared" si="79"/>
        <v>10000</v>
      </c>
      <c r="K221" s="47">
        <f t="shared" si="79"/>
        <v>0</v>
      </c>
      <c r="L221" s="47">
        <f t="shared" si="79"/>
        <v>0</v>
      </c>
      <c r="M221" s="47">
        <f t="shared" si="79"/>
        <v>0</v>
      </c>
      <c r="N221" s="47">
        <f t="shared" si="79"/>
        <v>10000</v>
      </c>
      <c r="O221" s="47">
        <f t="shared" si="79"/>
        <v>10000</v>
      </c>
      <c r="P221" s="47">
        <f t="shared" si="79"/>
        <v>5014000</v>
      </c>
      <c r="Q221" s="258"/>
      <c r="R221" s="185"/>
      <c r="S221" s="185"/>
      <c r="T221" s="185"/>
    </row>
    <row r="222" spans="1:20" s="132" customFormat="1" ht="33" customHeight="1">
      <c r="A222" s="130" t="s">
        <v>179</v>
      </c>
      <c r="B222" s="144"/>
      <c r="C222" s="144"/>
      <c r="D222" s="143" t="s">
        <v>66</v>
      </c>
      <c r="E222" s="87">
        <f>E223+E224</f>
        <v>5004000</v>
      </c>
      <c r="F222" s="87">
        <f aca="true" t="shared" si="80" ref="F222:P222">F223+F224</f>
        <v>5004000</v>
      </c>
      <c r="G222" s="87">
        <f t="shared" si="80"/>
        <v>3515000</v>
      </c>
      <c r="H222" s="87">
        <f t="shared" si="80"/>
        <v>81850</v>
      </c>
      <c r="I222" s="87">
        <f t="shared" si="80"/>
        <v>0</v>
      </c>
      <c r="J222" s="87">
        <f t="shared" si="80"/>
        <v>10000</v>
      </c>
      <c r="K222" s="87">
        <f t="shared" si="80"/>
        <v>0</v>
      </c>
      <c r="L222" s="87">
        <f t="shared" si="80"/>
        <v>0</v>
      </c>
      <c r="M222" s="87">
        <f t="shared" si="80"/>
        <v>0</v>
      </c>
      <c r="N222" s="87">
        <f t="shared" si="80"/>
        <v>10000</v>
      </c>
      <c r="O222" s="87">
        <f t="shared" si="80"/>
        <v>10000</v>
      </c>
      <c r="P222" s="87">
        <f t="shared" si="80"/>
        <v>5014000</v>
      </c>
      <c r="Q222" s="258"/>
      <c r="R222" s="194"/>
      <c r="S222" s="194"/>
      <c r="T222" s="194"/>
    </row>
    <row r="223" spans="1:20" s="4" customFormat="1" ht="45">
      <c r="A223" s="88" t="s">
        <v>0</v>
      </c>
      <c r="B223" s="88" t="str">
        <f>'дод. 4'!A14</f>
        <v>0160</v>
      </c>
      <c r="C223" s="88" t="str">
        <f>'дод. 4'!B14</f>
        <v>0111</v>
      </c>
      <c r="D223" s="89" t="str">
        <f>'дод. 4'!C14</f>
        <v>Керівництво і управління у відповідній сфері у містах (місті Києві), селищах, селах, об’єднаних територіальних громадах</v>
      </c>
      <c r="E223" s="90">
        <f>F223+I223</f>
        <v>4464000</v>
      </c>
      <c r="F223" s="90">
        <f>4516800-52800</f>
        <v>4464000</v>
      </c>
      <c r="G223" s="90">
        <v>3515000</v>
      </c>
      <c r="H223" s="90">
        <v>81850</v>
      </c>
      <c r="I223" s="90"/>
      <c r="J223" s="90">
        <f>K223+N223</f>
        <v>10000</v>
      </c>
      <c r="K223" s="90"/>
      <c r="L223" s="90"/>
      <c r="M223" s="90"/>
      <c r="N223" s="90">
        <f>20000-10000</f>
        <v>10000</v>
      </c>
      <c r="O223" s="90">
        <f>20000-10000</f>
        <v>10000</v>
      </c>
      <c r="P223" s="90">
        <f>E223+J223</f>
        <v>4474000</v>
      </c>
      <c r="Q223" s="258"/>
      <c r="R223" s="187"/>
      <c r="S223" s="187"/>
      <c r="T223" s="187"/>
    </row>
    <row r="224" spans="1:20" s="4" customFormat="1" ht="30">
      <c r="A224" s="88" t="s">
        <v>404</v>
      </c>
      <c r="B224" s="88" t="str">
        <f>'дод. 4'!A160</f>
        <v>6090</v>
      </c>
      <c r="C224" s="88" t="str">
        <f>'дод. 4'!B160</f>
        <v>0640</v>
      </c>
      <c r="D224" s="122" t="str">
        <f>'дод. 4'!C160</f>
        <v>Інша діяльність у сфері житлово-комунального господарства</v>
      </c>
      <c r="E224" s="90">
        <f>F224+I224</f>
        <v>540000</v>
      </c>
      <c r="F224" s="90">
        <v>540000</v>
      </c>
      <c r="G224" s="90"/>
      <c r="H224" s="90"/>
      <c r="I224" s="90"/>
      <c r="J224" s="90">
        <f>K224+N224</f>
        <v>0</v>
      </c>
      <c r="K224" s="90"/>
      <c r="L224" s="90"/>
      <c r="M224" s="90"/>
      <c r="N224" s="90"/>
      <c r="O224" s="90"/>
      <c r="P224" s="90">
        <f>E224+J224</f>
        <v>540000</v>
      </c>
      <c r="Q224" s="258"/>
      <c r="R224" s="187"/>
      <c r="S224" s="187"/>
      <c r="T224" s="187"/>
    </row>
    <row r="225" spans="1:20" s="129" customFormat="1" ht="33" customHeight="1">
      <c r="A225" s="127" t="s">
        <v>54</v>
      </c>
      <c r="B225" s="37"/>
      <c r="C225" s="37"/>
      <c r="D225" s="36" t="s">
        <v>65</v>
      </c>
      <c r="E225" s="47">
        <f>E226</f>
        <v>58084906</v>
      </c>
      <c r="F225" s="47">
        <f aca="true" t="shared" si="81" ref="F225:P225">F226</f>
        <v>58084906</v>
      </c>
      <c r="G225" s="47">
        <f t="shared" si="81"/>
        <v>0</v>
      </c>
      <c r="H225" s="47">
        <f t="shared" si="81"/>
        <v>0</v>
      </c>
      <c r="I225" s="47">
        <f t="shared" si="81"/>
        <v>0</v>
      </c>
      <c r="J225" s="47">
        <f t="shared" si="81"/>
        <v>180988189</v>
      </c>
      <c r="K225" s="47">
        <f>K226</f>
        <v>2289048</v>
      </c>
      <c r="L225" s="47">
        <f t="shared" si="81"/>
        <v>1725540</v>
      </c>
      <c r="M225" s="47">
        <f t="shared" si="81"/>
        <v>46200</v>
      </c>
      <c r="N225" s="47">
        <f t="shared" si="81"/>
        <v>178699141</v>
      </c>
      <c r="O225" s="47">
        <f t="shared" si="81"/>
        <v>178349141</v>
      </c>
      <c r="P225" s="47">
        <f t="shared" si="81"/>
        <v>239073095</v>
      </c>
      <c r="Q225" s="258"/>
      <c r="R225" s="185"/>
      <c r="S225" s="185"/>
      <c r="T225" s="185"/>
    </row>
    <row r="226" spans="1:20" s="132" customFormat="1" ht="38.25" customHeight="1">
      <c r="A226" s="130" t="s">
        <v>55</v>
      </c>
      <c r="B226" s="144"/>
      <c r="C226" s="144"/>
      <c r="D226" s="143" t="s">
        <v>65</v>
      </c>
      <c r="E226" s="87">
        <f>E227+E228+E229+E231+E232+E236+E240+E238+E237</f>
        <v>58084906</v>
      </c>
      <c r="F226" s="87">
        <f aca="true" t="shared" si="82" ref="F226:P226">F227+F228+F229+F231+F232+F236+F240+F238+F237</f>
        <v>58084906</v>
      </c>
      <c r="G226" s="87">
        <f t="shared" si="82"/>
        <v>0</v>
      </c>
      <c r="H226" s="87">
        <f t="shared" si="82"/>
        <v>0</v>
      </c>
      <c r="I226" s="87">
        <f t="shared" si="82"/>
        <v>0</v>
      </c>
      <c r="J226" s="87">
        <f t="shared" si="82"/>
        <v>180988189</v>
      </c>
      <c r="K226" s="87">
        <f t="shared" si="82"/>
        <v>2289048</v>
      </c>
      <c r="L226" s="87">
        <f t="shared" si="82"/>
        <v>1725540</v>
      </c>
      <c r="M226" s="87">
        <f t="shared" si="82"/>
        <v>46200</v>
      </c>
      <c r="N226" s="87">
        <f t="shared" si="82"/>
        <v>178699141</v>
      </c>
      <c r="O226" s="87">
        <f t="shared" si="82"/>
        <v>178349141</v>
      </c>
      <c r="P226" s="87">
        <f t="shared" si="82"/>
        <v>239073095</v>
      </c>
      <c r="Q226" s="258"/>
      <c r="R226" s="191"/>
      <c r="S226" s="191"/>
      <c r="T226" s="191"/>
    </row>
    <row r="227" spans="1:20" s="4" customFormat="1" ht="45">
      <c r="A227" s="88" t="s">
        <v>221</v>
      </c>
      <c r="B227" s="88" t="str">
        <f>'дод. 4'!A14</f>
        <v>0160</v>
      </c>
      <c r="C227" s="88" t="str">
        <f>'дод. 4'!B14</f>
        <v>0111</v>
      </c>
      <c r="D227" s="89" t="str">
        <f>'дод. 4'!C14</f>
        <v>Керівництво і управління у відповідній сфері у містах (місті Києві), селищах, селах, об’єднаних територіальних громадах</v>
      </c>
      <c r="E227" s="90">
        <f>F227+I227</f>
        <v>0</v>
      </c>
      <c r="F227" s="90"/>
      <c r="G227" s="90"/>
      <c r="H227" s="90"/>
      <c r="I227" s="90"/>
      <c r="J227" s="90">
        <f>K227+N227</f>
        <v>2600000</v>
      </c>
      <c r="K227" s="90">
        <v>2250000</v>
      </c>
      <c r="L227" s="90">
        <v>1725540</v>
      </c>
      <c r="M227" s="90">
        <v>46200</v>
      </c>
      <c r="N227" s="90">
        <v>350000</v>
      </c>
      <c r="O227" s="90"/>
      <c r="P227" s="90">
        <f>E227+J227</f>
        <v>2600000</v>
      </c>
      <c r="Q227" s="258">
        <v>22</v>
      </c>
      <c r="R227" s="187"/>
      <c r="S227" s="187"/>
      <c r="T227" s="187"/>
    </row>
    <row r="228" spans="1:20" s="4" customFormat="1" ht="22.5" customHeight="1">
      <c r="A228" s="88" t="s">
        <v>327</v>
      </c>
      <c r="B228" s="88" t="str">
        <f>'дод. 4'!A157</f>
        <v>6030</v>
      </c>
      <c r="C228" s="88" t="str">
        <f>'дод. 4'!B157</f>
        <v>0620</v>
      </c>
      <c r="D228" s="123" t="str">
        <f>'дод. 4'!C157</f>
        <v>Організація благоустрою населених пунктів</v>
      </c>
      <c r="E228" s="90">
        <f>F228+I228</f>
        <v>58000000</v>
      </c>
      <c r="F228" s="90">
        <f>40000000+20000000-2000000</f>
        <v>58000000</v>
      </c>
      <c r="G228" s="90"/>
      <c r="H228" s="90"/>
      <c r="I228" s="90"/>
      <c r="J228" s="90">
        <f>K228+N228</f>
        <v>86752000</v>
      </c>
      <c r="K228" s="90"/>
      <c r="L228" s="90"/>
      <c r="M228" s="90"/>
      <c r="N228" s="90">
        <f>60000000+30000000-3248000</f>
        <v>86752000</v>
      </c>
      <c r="O228" s="90">
        <f>60000000+30000000-3248000</f>
        <v>86752000</v>
      </c>
      <c r="P228" s="90">
        <f>E228+J228</f>
        <v>144752000</v>
      </c>
      <c r="Q228" s="258"/>
      <c r="R228" s="187"/>
      <c r="S228" s="187"/>
      <c r="T228" s="196"/>
    </row>
    <row r="229" spans="1:21" s="4" customFormat="1" ht="24" customHeight="1">
      <c r="A229" s="98" t="s">
        <v>328</v>
      </c>
      <c r="B229" s="98" t="str">
        <f>'дод. 4'!A158</f>
        <v>6080</v>
      </c>
      <c r="C229" s="98">
        <f>'дод. 4'!B158</f>
        <v>0</v>
      </c>
      <c r="D229" s="148" t="str">
        <f>'дод. 4'!C158</f>
        <v>Реалізація державних та місцевих житлових програм </v>
      </c>
      <c r="E229" s="90">
        <f>E230</f>
        <v>84906</v>
      </c>
      <c r="F229" s="90">
        <f aca="true" t="shared" si="83" ref="F229:P229">F230</f>
        <v>84906</v>
      </c>
      <c r="G229" s="90">
        <f t="shared" si="83"/>
        <v>0</v>
      </c>
      <c r="H229" s="90">
        <f t="shared" si="83"/>
        <v>0</v>
      </c>
      <c r="I229" s="90">
        <f t="shared" si="83"/>
        <v>0</v>
      </c>
      <c r="J229" s="90">
        <f t="shared" si="83"/>
        <v>39048</v>
      </c>
      <c r="K229" s="90">
        <f>K230</f>
        <v>39048</v>
      </c>
      <c r="L229" s="90">
        <f t="shared" si="83"/>
        <v>0</v>
      </c>
      <c r="M229" s="90">
        <f t="shared" si="83"/>
        <v>0</v>
      </c>
      <c r="N229" s="90">
        <f t="shared" si="83"/>
        <v>0</v>
      </c>
      <c r="O229" s="90">
        <f t="shared" si="83"/>
        <v>0</v>
      </c>
      <c r="P229" s="90">
        <f t="shared" si="83"/>
        <v>123954</v>
      </c>
      <c r="Q229" s="258"/>
      <c r="R229" s="188"/>
      <c r="S229" s="188"/>
      <c r="T229" s="188"/>
      <c r="U229" s="176"/>
    </row>
    <row r="230" spans="1:20" s="134" customFormat="1" ht="68.25" customHeight="1">
      <c r="A230" s="91" t="s">
        <v>329</v>
      </c>
      <c r="B230" s="91" t="str">
        <f>'дод. 4'!A159</f>
        <v>6084</v>
      </c>
      <c r="C230" s="91" t="str">
        <f>'дод. 4'!B159</f>
        <v>0610</v>
      </c>
      <c r="D230" s="119" t="str">
        <f>'дод. 4'!C159</f>
        <v>Витрати, пов’язані з наданням та обслуговуванням пільгових довгострокових кредитів, наданих громадянам на будівництво/реконструкцію/придбання житла</v>
      </c>
      <c r="E230" s="93">
        <f>F230+I230</f>
        <v>84906</v>
      </c>
      <c r="F230" s="93">
        <v>84906</v>
      </c>
      <c r="G230" s="93"/>
      <c r="H230" s="93"/>
      <c r="I230" s="93"/>
      <c r="J230" s="93">
        <f>K230+N230</f>
        <v>39048</v>
      </c>
      <c r="K230" s="93">
        <v>39048</v>
      </c>
      <c r="L230" s="93"/>
      <c r="M230" s="93"/>
      <c r="N230" s="93"/>
      <c r="O230" s="93"/>
      <c r="P230" s="93">
        <f>E230+J230</f>
        <v>123954</v>
      </c>
      <c r="Q230" s="258"/>
      <c r="R230" s="189"/>
      <c r="S230" s="189"/>
      <c r="T230" s="189"/>
    </row>
    <row r="231" spans="1:20" s="4" customFormat="1" ht="36" customHeight="1">
      <c r="A231" s="88" t="s">
        <v>428</v>
      </c>
      <c r="B231" s="88" t="str">
        <f>'дод. 4'!A165</f>
        <v>7310</v>
      </c>
      <c r="C231" s="88" t="str">
        <f>'дод. 4'!B165</f>
        <v>0443</v>
      </c>
      <c r="D231" s="122" t="str">
        <f>'дод. 4'!C165</f>
        <v>Будівництво об'єктів житлово-комунального господарства</v>
      </c>
      <c r="E231" s="90">
        <f>F231+I231</f>
        <v>0</v>
      </c>
      <c r="F231" s="90"/>
      <c r="G231" s="90"/>
      <c r="H231" s="90"/>
      <c r="I231" s="90"/>
      <c r="J231" s="90">
        <f>K231+N231</f>
        <v>9900000</v>
      </c>
      <c r="K231" s="90"/>
      <c r="L231" s="90"/>
      <c r="M231" s="90"/>
      <c r="N231" s="90">
        <v>9900000</v>
      </c>
      <c r="O231" s="90">
        <v>9900000</v>
      </c>
      <c r="P231" s="90">
        <f>E231+J231</f>
        <v>9900000</v>
      </c>
      <c r="Q231" s="258"/>
      <c r="R231" s="187"/>
      <c r="S231" s="187"/>
      <c r="T231" s="196"/>
    </row>
    <row r="232" spans="1:20" s="4" customFormat="1" ht="36" customHeight="1">
      <c r="A232" s="88" t="s">
        <v>429</v>
      </c>
      <c r="B232" s="88" t="str">
        <f>'дод. 4'!A166</f>
        <v>7320</v>
      </c>
      <c r="C232" s="88">
        <f>'дод. 4'!B166</f>
        <v>0</v>
      </c>
      <c r="D232" s="122" t="str">
        <f>'дод. 4'!C166</f>
        <v>Будівництво об'єктів соціально-культурного призначення</v>
      </c>
      <c r="E232" s="90">
        <f>E233+E234+E235</f>
        <v>0</v>
      </c>
      <c r="F232" s="90">
        <f aca="true" t="shared" si="84" ref="F232:P232">F233+F234+F235</f>
        <v>0</v>
      </c>
      <c r="G232" s="90">
        <f t="shared" si="84"/>
        <v>0</v>
      </c>
      <c r="H232" s="90">
        <f t="shared" si="84"/>
        <v>0</v>
      </c>
      <c r="I232" s="90">
        <f t="shared" si="84"/>
        <v>0</v>
      </c>
      <c r="J232" s="90">
        <f t="shared" si="84"/>
        <v>24962500</v>
      </c>
      <c r="K232" s="90">
        <f t="shared" si="84"/>
        <v>0</v>
      </c>
      <c r="L232" s="90">
        <f t="shared" si="84"/>
        <v>0</v>
      </c>
      <c r="M232" s="90">
        <f t="shared" si="84"/>
        <v>0</v>
      </c>
      <c r="N232" s="90">
        <f t="shared" si="84"/>
        <v>24962500</v>
      </c>
      <c r="O232" s="90">
        <f t="shared" si="84"/>
        <v>24962500</v>
      </c>
      <c r="P232" s="90">
        <f t="shared" si="84"/>
        <v>24962500</v>
      </c>
      <c r="Q232" s="258"/>
      <c r="R232" s="188"/>
      <c r="S232" s="188"/>
      <c r="T232" s="188"/>
    </row>
    <row r="233" spans="1:20" s="134" customFormat="1" ht="25.5" customHeight="1">
      <c r="A233" s="91" t="s">
        <v>431</v>
      </c>
      <c r="B233" s="91" t="str">
        <f>'дод. 4'!A167</f>
        <v>7321</v>
      </c>
      <c r="C233" s="91" t="str">
        <f>'дод. 4'!B167</f>
        <v>0443</v>
      </c>
      <c r="D233" s="119" t="str">
        <f>'дод. 4'!C167</f>
        <v>Будівництво освітніх установ та закладів</v>
      </c>
      <c r="E233" s="93">
        <f>F233+I233</f>
        <v>0</v>
      </c>
      <c r="F233" s="93"/>
      <c r="G233" s="93"/>
      <c r="H233" s="93"/>
      <c r="I233" s="93"/>
      <c r="J233" s="93">
        <f>K233+N233</f>
        <v>10962500</v>
      </c>
      <c r="K233" s="93"/>
      <c r="L233" s="93"/>
      <c r="M233" s="93"/>
      <c r="N233" s="93">
        <f>3741000+7000000+221500</f>
        <v>10962500</v>
      </c>
      <c r="O233" s="93">
        <f>3741000+7000000+221500</f>
        <v>10962500</v>
      </c>
      <c r="P233" s="93">
        <f>E233+J233</f>
        <v>10962500</v>
      </c>
      <c r="Q233" s="258"/>
      <c r="R233" s="189"/>
      <c r="S233" s="189"/>
      <c r="T233" s="190"/>
    </row>
    <row r="234" spans="1:20" s="134" customFormat="1" ht="25.5" customHeight="1">
      <c r="A234" s="91" t="s">
        <v>433</v>
      </c>
      <c r="B234" s="91" t="str">
        <f>'дод. 4'!A168</f>
        <v>7322</v>
      </c>
      <c r="C234" s="91" t="str">
        <f>'дод. 4'!B168</f>
        <v>0443</v>
      </c>
      <c r="D234" s="119" t="str">
        <f>'дод. 4'!C168</f>
        <v>Будівництво медичних установ та закладів</v>
      </c>
      <c r="E234" s="93">
        <f>F234+I234</f>
        <v>0</v>
      </c>
      <c r="F234" s="93"/>
      <c r="G234" s="93"/>
      <c r="H234" s="93"/>
      <c r="I234" s="93"/>
      <c r="J234" s="93">
        <f>K234+N234</f>
        <v>5500000</v>
      </c>
      <c r="K234" s="93"/>
      <c r="L234" s="93"/>
      <c r="M234" s="93"/>
      <c r="N234" s="93">
        <v>5500000</v>
      </c>
      <c r="O234" s="93">
        <v>5500000</v>
      </c>
      <c r="P234" s="93">
        <f>E234+J234</f>
        <v>5500000</v>
      </c>
      <c r="Q234" s="258"/>
      <c r="R234" s="189"/>
      <c r="S234" s="189"/>
      <c r="T234" s="189"/>
    </row>
    <row r="235" spans="1:20" s="134" customFormat="1" ht="36" customHeight="1">
      <c r="A235" s="91" t="s">
        <v>435</v>
      </c>
      <c r="B235" s="91" t="str">
        <f>'дод. 4'!A169</f>
        <v>7325</v>
      </c>
      <c r="C235" s="91" t="str">
        <f>'дод. 4'!B169</f>
        <v>0443</v>
      </c>
      <c r="D235" s="119" t="str">
        <f>'дод. 4'!C169</f>
        <v>Будівництво споруд, установ та закладів фізичної культури і спорту</v>
      </c>
      <c r="E235" s="93">
        <f>F235+I235</f>
        <v>0</v>
      </c>
      <c r="F235" s="93"/>
      <c r="G235" s="93"/>
      <c r="H235" s="93"/>
      <c r="I235" s="93"/>
      <c r="J235" s="93">
        <f>K235+N235</f>
        <v>8500000</v>
      </c>
      <c r="K235" s="93"/>
      <c r="L235" s="93"/>
      <c r="M235" s="93"/>
      <c r="N235" s="93">
        <v>8500000</v>
      </c>
      <c r="O235" s="93">
        <v>8500000</v>
      </c>
      <c r="P235" s="93">
        <f>E235+J235</f>
        <v>8500000</v>
      </c>
      <c r="Q235" s="258"/>
      <c r="R235" s="189"/>
      <c r="S235" s="189"/>
      <c r="T235" s="189"/>
    </row>
    <row r="236" spans="1:20" s="4" customFormat="1" ht="36" customHeight="1">
      <c r="A236" s="88" t="s">
        <v>437</v>
      </c>
      <c r="B236" s="88" t="str">
        <f>'дод. 4'!A170</f>
        <v>7330</v>
      </c>
      <c r="C236" s="88" t="str">
        <f>'дод. 4'!B170</f>
        <v>0443</v>
      </c>
      <c r="D236" s="122" t="str">
        <f>'дод. 4'!C170</f>
        <v>Будівництво інших об'єктів соціальної та виробничої інфраструктури комунальної власності</v>
      </c>
      <c r="E236" s="90">
        <f>F236+I236</f>
        <v>0</v>
      </c>
      <c r="F236" s="90"/>
      <c r="G236" s="90"/>
      <c r="H236" s="90"/>
      <c r="I236" s="90"/>
      <c r="J236" s="90">
        <f>K236+N236</f>
        <v>35527641</v>
      </c>
      <c r="K236" s="90"/>
      <c r="L236" s="90"/>
      <c r="M236" s="90"/>
      <c r="N236" s="90">
        <f>30359000+870000-1111500+240000+300000+998900+425207+489680+498116+409160+482174+998774+468130+100000</f>
        <v>35527641</v>
      </c>
      <c r="O236" s="90">
        <f>30359000+870000-1111500+240000+300000+998900+425207+489680+498116+409160+482174+998774+468130+100000</f>
        <v>35527641</v>
      </c>
      <c r="P236" s="90">
        <f>E236+J236</f>
        <v>35527641</v>
      </c>
      <c r="Q236" s="258"/>
      <c r="R236" s="187"/>
      <c r="S236" s="187"/>
      <c r="T236" s="187"/>
    </row>
    <row r="237" spans="1:20" s="4" customFormat="1" ht="36" customHeight="1">
      <c r="A237" s="88" t="s">
        <v>591</v>
      </c>
      <c r="B237" s="88" t="str">
        <f>'дод. 4'!A171</f>
        <v>7340</v>
      </c>
      <c r="C237" s="88" t="str">
        <f>'дод. 4'!B171</f>
        <v>0443</v>
      </c>
      <c r="D237" s="122" t="str">
        <f>'дод. 4'!C171</f>
        <v>Проектування, реставрація та охорона пам'яток архітектури</v>
      </c>
      <c r="E237" s="90">
        <f>F237+I237</f>
        <v>0</v>
      </c>
      <c r="F237" s="90"/>
      <c r="G237" s="90"/>
      <c r="H237" s="90"/>
      <c r="I237" s="90"/>
      <c r="J237" s="90">
        <f>K237+N237</f>
        <v>650000</v>
      </c>
      <c r="K237" s="90"/>
      <c r="L237" s="90"/>
      <c r="M237" s="90"/>
      <c r="N237" s="90">
        <v>650000</v>
      </c>
      <c r="O237" s="90">
        <v>650000</v>
      </c>
      <c r="P237" s="90">
        <f>E237+J237</f>
        <v>650000</v>
      </c>
      <c r="Q237" s="258"/>
      <c r="R237" s="187"/>
      <c r="S237" s="187"/>
      <c r="T237" s="187"/>
    </row>
    <row r="238" spans="1:20" s="4" customFormat="1" ht="36" customHeight="1">
      <c r="A238" s="88" t="s">
        <v>582</v>
      </c>
      <c r="B238" s="88" t="str">
        <f>'дод. 4'!A175</f>
        <v>7420</v>
      </c>
      <c r="C238" s="88">
        <f>'дод. 4'!B175</f>
        <v>0</v>
      </c>
      <c r="D238" s="122" t="str">
        <f>'дод. 4'!C175</f>
        <v>Забезпечення надання послуг з перевезення пасажирів електротранспортом</v>
      </c>
      <c r="E238" s="90">
        <f aca="true" t="shared" si="85" ref="E238:P238">E239</f>
        <v>0</v>
      </c>
      <c r="F238" s="90">
        <f t="shared" si="85"/>
        <v>0</v>
      </c>
      <c r="G238" s="90">
        <f t="shared" si="85"/>
        <v>0</v>
      </c>
      <c r="H238" s="90">
        <f t="shared" si="85"/>
        <v>0</v>
      </c>
      <c r="I238" s="90">
        <f t="shared" si="85"/>
        <v>0</v>
      </c>
      <c r="J238" s="90">
        <f t="shared" si="85"/>
        <v>2000000</v>
      </c>
      <c r="K238" s="90">
        <f t="shared" si="85"/>
        <v>0</v>
      </c>
      <c r="L238" s="90">
        <f t="shared" si="85"/>
        <v>0</v>
      </c>
      <c r="M238" s="90">
        <f t="shared" si="85"/>
        <v>0</v>
      </c>
      <c r="N238" s="90">
        <f t="shared" si="85"/>
        <v>2000000</v>
      </c>
      <c r="O238" s="90">
        <f t="shared" si="85"/>
        <v>2000000</v>
      </c>
      <c r="P238" s="90">
        <f t="shared" si="85"/>
        <v>2000000</v>
      </c>
      <c r="Q238" s="258"/>
      <c r="R238" s="192"/>
      <c r="S238" s="192"/>
      <c r="T238" s="192"/>
    </row>
    <row r="239" spans="1:20" s="134" customFormat="1" ht="24" customHeight="1">
      <c r="A239" s="91" t="s">
        <v>583</v>
      </c>
      <c r="B239" s="91" t="str">
        <f>'дод. 4'!A177</f>
        <v>7426</v>
      </c>
      <c r="C239" s="91" t="str">
        <f>'дод. 4'!B177</f>
        <v>0453</v>
      </c>
      <c r="D239" s="119" t="str">
        <f>'дод. 4'!C177</f>
        <v>Інші заходи у сфері електротранспорту</v>
      </c>
      <c r="E239" s="93">
        <f>F239+I239</f>
        <v>0</v>
      </c>
      <c r="F239" s="93"/>
      <c r="G239" s="93"/>
      <c r="H239" s="93"/>
      <c r="I239" s="93"/>
      <c r="J239" s="93">
        <f>K239+N239</f>
        <v>2000000</v>
      </c>
      <c r="K239" s="93"/>
      <c r="L239" s="93"/>
      <c r="M239" s="93"/>
      <c r="N239" s="93">
        <v>2000000</v>
      </c>
      <c r="O239" s="93">
        <v>2000000</v>
      </c>
      <c r="P239" s="93">
        <f>E239+J239</f>
        <v>2000000</v>
      </c>
      <c r="Q239" s="258"/>
      <c r="R239" s="189"/>
      <c r="S239" s="189"/>
      <c r="T239" s="189"/>
    </row>
    <row r="240" spans="1:20" s="4" customFormat="1" ht="28.5" customHeight="1">
      <c r="A240" s="94" t="s">
        <v>234</v>
      </c>
      <c r="B240" s="94" t="str">
        <f>'дод. 4'!A183</f>
        <v>7640</v>
      </c>
      <c r="C240" s="94" t="str">
        <f>'дод. 4'!B183</f>
        <v>0470</v>
      </c>
      <c r="D240" s="126" t="str">
        <f>'дод. 4'!C183</f>
        <v>Заходи з енергозбереження</v>
      </c>
      <c r="E240" s="96">
        <f>F240+I240</f>
        <v>0</v>
      </c>
      <c r="F240" s="96"/>
      <c r="G240" s="96"/>
      <c r="H240" s="96"/>
      <c r="I240" s="96"/>
      <c r="J240" s="96">
        <f>K240+N240</f>
        <v>18557000</v>
      </c>
      <c r="K240" s="96"/>
      <c r="L240" s="96"/>
      <c r="M240" s="96"/>
      <c r="N240" s="96">
        <v>18557000</v>
      </c>
      <c r="O240" s="96">
        <v>18557000</v>
      </c>
      <c r="P240" s="96">
        <f>E240+J240</f>
        <v>18557000</v>
      </c>
      <c r="Q240" s="258"/>
      <c r="R240" s="187"/>
      <c r="S240" s="187"/>
      <c r="T240" s="196"/>
    </row>
    <row r="241" spans="1:20" s="132" customFormat="1" ht="28.5">
      <c r="A241" s="127" t="s">
        <v>330</v>
      </c>
      <c r="B241" s="37"/>
      <c r="C241" s="37"/>
      <c r="D241" s="36" t="s">
        <v>72</v>
      </c>
      <c r="E241" s="47">
        <f>E242</f>
        <v>6329600</v>
      </c>
      <c r="F241" s="47">
        <f aca="true" t="shared" si="86" ref="F241:P241">F242</f>
        <v>6329600</v>
      </c>
      <c r="G241" s="47">
        <f t="shared" si="86"/>
        <v>4858230</v>
      </c>
      <c r="H241" s="47">
        <f t="shared" si="86"/>
        <v>81200</v>
      </c>
      <c r="I241" s="47">
        <f t="shared" si="86"/>
        <v>0</v>
      </c>
      <c r="J241" s="47">
        <f t="shared" si="86"/>
        <v>341539</v>
      </c>
      <c r="K241" s="47">
        <f t="shared" si="86"/>
        <v>341539</v>
      </c>
      <c r="L241" s="47">
        <f t="shared" si="86"/>
        <v>0</v>
      </c>
      <c r="M241" s="47">
        <f t="shared" si="86"/>
        <v>0</v>
      </c>
      <c r="N241" s="47">
        <f t="shared" si="86"/>
        <v>0</v>
      </c>
      <c r="O241" s="47">
        <f t="shared" si="86"/>
        <v>0</v>
      </c>
      <c r="P241" s="47">
        <f t="shared" si="86"/>
        <v>6671139</v>
      </c>
      <c r="Q241" s="258"/>
      <c r="R241" s="185"/>
      <c r="S241" s="185"/>
      <c r="T241" s="185"/>
    </row>
    <row r="242" spans="1:21" s="132" customFormat="1" ht="30">
      <c r="A242" s="130" t="s">
        <v>331</v>
      </c>
      <c r="B242" s="144"/>
      <c r="C242" s="144"/>
      <c r="D242" s="143" t="s">
        <v>72</v>
      </c>
      <c r="E242" s="87">
        <f>E243+E245+E244</f>
        <v>6329600</v>
      </c>
      <c r="F242" s="87">
        <f aca="true" t="shared" si="87" ref="F242:P242">F243+F245+F244</f>
        <v>6329600</v>
      </c>
      <c r="G242" s="87">
        <f t="shared" si="87"/>
        <v>4858230</v>
      </c>
      <c r="H242" s="87">
        <f t="shared" si="87"/>
        <v>81200</v>
      </c>
      <c r="I242" s="87">
        <f t="shared" si="87"/>
        <v>0</v>
      </c>
      <c r="J242" s="87">
        <f t="shared" si="87"/>
        <v>341539</v>
      </c>
      <c r="K242" s="87">
        <f t="shared" si="87"/>
        <v>341539</v>
      </c>
      <c r="L242" s="87">
        <f t="shared" si="87"/>
        <v>0</v>
      </c>
      <c r="M242" s="87">
        <f t="shared" si="87"/>
        <v>0</v>
      </c>
      <c r="N242" s="87">
        <f t="shared" si="87"/>
        <v>0</v>
      </c>
      <c r="O242" s="87">
        <f t="shared" si="87"/>
        <v>0</v>
      </c>
      <c r="P242" s="87">
        <f t="shared" si="87"/>
        <v>6671139</v>
      </c>
      <c r="Q242" s="258"/>
      <c r="R242" s="194"/>
      <c r="S242" s="194"/>
      <c r="T242" s="194"/>
      <c r="U242" s="177"/>
    </row>
    <row r="243" spans="1:20" s="4" customFormat="1" ht="45">
      <c r="A243" s="88" t="s">
        <v>332</v>
      </c>
      <c r="B243" s="88" t="str">
        <f>'дод. 4'!A14</f>
        <v>0160</v>
      </c>
      <c r="C243" s="88" t="str">
        <f>'дод. 4'!B14</f>
        <v>0111</v>
      </c>
      <c r="D243" s="89" t="str">
        <f>'дод. 4'!C14</f>
        <v>Керівництво і управління у відповідній сфері у містах (місті Києві), селищах, селах, об’єднаних територіальних громадах</v>
      </c>
      <c r="E243" s="90">
        <f>F243+I243</f>
        <v>6179600</v>
      </c>
      <c r="F243" s="90">
        <f>6208400-28800</f>
        <v>6179600</v>
      </c>
      <c r="G243" s="90">
        <v>4858230</v>
      </c>
      <c r="H243" s="90">
        <v>81200</v>
      </c>
      <c r="I243" s="90"/>
      <c r="J243" s="90">
        <f>K243+N243</f>
        <v>0</v>
      </c>
      <c r="K243" s="90"/>
      <c r="L243" s="90"/>
      <c r="M243" s="90"/>
      <c r="N243" s="90">
        <f>20000-20000</f>
        <v>0</v>
      </c>
      <c r="O243" s="90">
        <f>20000-20000</f>
        <v>0</v>
      </c>
      <c r="P243" s="90">
        <f>E243+J243</f>
        <v>6179600</v>
      </c>
      <c r="Q243" s="258"/>
      <c r="R243" s="187"/>
      <c r="S243" s="187"/>
      <c r="T243" s="187"/>
    </row>
    <row r="244" spans="1:20" s="4" customFormat="1" ht="32.25" customHeight="1">
      <c r="A244" s="88" t="s">
        <v>491</v>
      </c>
      <c r="B244" s="162" t="str">
        <f>'дод. 4'!A160</f>
        <v>6090</v>
      </c>
      <c r="C244" s="162" t="str">
        <f>'дод. 4'!B160</f>
        <v>0640</v>
      </c>
      <c r="D244" s="122" t="str">
        <f>'дод. 4'!C160</f>
        <v>Інша діяльність у сфері житлово-комунального господарства</v>
      </c>
      <c r="E244" s="90">
        <f>F244+I244</f>
        <v>150000</v>
      </c>
      <c r="F244" s="90">
        <v>150000</v>
      </c>
      <c r="G244" s="90"/>
      <c r="H244" s="90"/>
      <c r="I244" s="90"/>
      <c r="J244" s="90">
        <f>K244+N244</f>
        <v>0</v>
      </c>
      <c r="K244" s="90"/>
      <c r="L244" s="90"/>
      <c r="M244" s="90"/>
      <c r="N244" s="90"/>
      <c r="O244" s="90"/>
      <c r="P244" s="90">
        <f>E244+J244</f>
        <v>150000</v>
      </c>
      <c r="Q244" s="258"/>
      <c r="R244" s="187"/>
      <c r="S244" s="187"/>
      <c r="T244" s="187" t="e">
        <f>#REF!*$T$11</f>
        <v>#REF!</v>
      </c>
    </row>
    <row r="245" spans="1:20" s="4" customFormat="1" ht="18.75" customHeight="1">
      <c r="A245" s="98" t="s">
        <v>333</v>
      </c>
      <c r="B245" s="98" t="str">
        <f>'дод. 4'!A188</f>
        <v>7690</v>
      </c>
      <c r="C245" s="98">
        <f>'дод. 4'!B188</f>
        <v>0</v>
      </c>
      <c r="D245" s="148" t="str">
        <f>'дод. 4'!C188</f>
        <v>Інша економічна діяльність</v>
      </c>
      <c r="E245" s="90">
        <f>E246</f>
        <v>0</v>
      </c>
      <c r="F245" s="90">
        <f aca="true" t="shared" si="88" ref="F245:P245">F246</f>
        <v>0</v>
      </c>
      <c r="G245" s="90">
        <f t="shared" si="88"/>
        <v>0</v>
      </c>
      <c r="H245" s="90">
        <f t="shared" si="88"/>
        <v>0</v>
      </c>
      <c r="I245" s="90">
        <f t="shared" si="88"/>
        <v>0</v>
      </c>
      <c r="J245" s="90">
        <f t="shared" si="88"/>
        <v>341539</v>
      </c>
      <c r="K245" s="90">
        <f t="shared" si="88"/>
        <v>341539</v>
      </c>
      <c r="L245" s="90">
        <f t="shared" si="88"/>
        <v>0</v>
      </c>
      <c r="M245" s="90">
        <f t="shared" si="88"/>
        <v>0</v>
      </c>
      <c r="N245" s="90">
        <f t="shared" si="88"/>
        <v>0</v>
      </c>
      <c r="O245" s="90">
        <f t="shared" si="88"/>
        <v>0</v>
      </c>
      <c r="P245" s="90">
        <f t="shared" si="88"/>
        <v>341539</v>
      </c>
      <c r="Q245" s="258"/>
      <c r="R245" s="188"/>
      <c r="S245" s="188"/>
      <c r="T245" s="188"/>
    </row>
    <row r="246" spans="1:20" s="134" customFormat="1" ht="140.25" customHeight="1">
      <c r="A246" s="135" t="s">
        <v>471</v>
      </c>
      <c r="B246" s="163" t="str">
        <f>'дод. 4'!A189</f>
        <v>7691</v>
      </c>
      <c r="C246" s="163" t="str">
        <f>'дод. 4'!B189</f>
        <v>0490</v>
      </c>
      <c r="D246" s="14" t="s">
        <v>501</v>
      </c>
      <c r="E246" s="93">
        <f>F246+I246</f>
        <v>0</v>
      </c>
      <c r="F246" s="93"/>
      <c r="G246" s="93"/>
      <c r="H246" s="93"/>
      <c r="I246" s="93"/>
      <c r="J246" s="93">
        <f>K246+N246</f>
        <v>341539</v>
      </c>
      <c r="K246" s="93">
        <v>341539</v>
      </c>
      <c r="L246" s="93"/>
      <c r="M246" s="93"/>
      <c r="N246" s="93"/>
      <c r="O246" s="93"/>
      <c r="P246" s="93">
        <f>E246+J246</f>
        <v>341539</v>
      </c>
      <c r="Q246" s="258"/>
      <c r="R246" s="189"/>
      <c r="S246" s="189"/>
      <c r="T246" s="189"/>
    </row>
    <row r="247" spans="1:20" s="132" customFormat="1" ht="36.75" customHeight="1">
      <c r="A247" s="127" t="s">
        <v>336</v>
      </c>
      <c r="B247" s="37"/>
      <c r="C247" s="37"/>
      <c r="D247" s="36" t="s">
        <v>75</v>
      </c>
      <c r="E247" s="47">
        <f>E248</f>
        <v>3506700</v>
      </c>
      <c r="F247" s="47">
        <f aca="true" t="shared" si="89" ref="F247:P248">F248</f>
        <v>3506700</v>
      </c>
      <c r="G247" s="47">
        <f t="shared" si="89"/>
        <v>2745200</v>
      </c>
      <c r="H247" s="47">
        <f t="shared" si="89"/>
        <v>36300</v>
      </c>
      <c r="I247" s="47">
        <f t="shared" si="89"/>
        <v>0</v>
      </c>
      <c r="J247" s="47">
        <f t="shared" si="89"/>
        <v>40000</v>
      </c>
      <c r="K247" s="47">
        <f t="shared" si="89"/>
        <v>0</v>
      </c>
      <c r="L247" s="47">
        <f t="shared" si="89"/>
        <v>0</v>
      </c>
      <c r="M247" s="47">
        <f t="shared" si="89"/>
        <v>0</v>
      </c>
      <c r="N247" s="47">
        <f t="shared" si="89"/>
        <v>40000</v>
      </c>
      <c r="O247" s="47">
        <f t="shared" si="89"/>
        <v>40000</v>
      </c>
      <c r="P247" s="47">
        <f t="shared" si="89"/>
        <v>3546700</v>
      </c>
      <c r="Q247" s="258"/>
      <c r="R247" s="185"/>
      <c r="S247" s="185"/>
      <c r="T247" s="185"/>
    </row>
    <row r="248" spans="1:20" s="132" customFormat="1" ht="41.25" customHeight="1">
      <c r="A248" s="130" t="s">
        <v>334</v>
      </c>
      <c r="B248" s="144"/>
      <c r="C248" s="144"/>
      <c r="D248" s="143" t="s">
        <v>75</v>
      </c>
      <c r="E248" s="87">
        <f>E249</f>
        <v>3506700</v>
      </c>
      <c r="F248" s="87">
        <f t="shared" si="89"/>
        <v>3506700</v>
      </c>
      <c r="G248" s="87">
        <f t="shared" si="89"/>
        <v>2745200</v>
      </c>
      <c r="H248" s="87">
        <f t="shared" si="89"/>
        <v>36300</v>
      </c>
      <c r="I248" s="87">
        <f t="shared" si="89"/>
        <v>0</v>
      </c>
      <c r="J248" s="87">
        <f t="shared" si="89"/>
        <v>40000</v>
      </c>
      <c r="K248" s="87">
        <f t="shared" si="89"/>
        <v>0</v>
      </c>
      <c r="L248" s="87">
        <f t="shared" si="89"/>
        <v>0</v>
      </c>
      <c r="M248" s="87">
        <f t="shared" si="89"/>
        <v>0</v>
      </c>
      <c r="N248" s="87">
        <f t="shared" si="89"/>
        <v>40000</v>
      </c>
      <c r="O248" s="87">
        <f t="shared" si="89"/>
        <v>40000</v>
      </c>
      <c r="P248" s="87">
        <f t="shared" si="89"/>
        <v>3546700</v>
      </c>
      <c r="Q248" s="258"/>
      <c r="R248" s="186"/>
      <c r="S248" s="186"/>
      <c r="T248" s="186"/>
    </row>
    <row r="249" spans="1:20" s="134" customFormat="1" ht="47.25" customHeight="1">
      <c r="A249" s="88" t="s">
        <v>335</v>
      </c>
      <c r="B249" s="88" t="str">
        <f>'дод. 4'!A14</f>
        <v>0160</v>
      </c>
      <c r="C249" s="88" t="str">
        <f>'дод. 4'!B14</f>
        <v>0111</v>
      </c>
      <c r="D249" s="89" t="str">
        <f>'дод. 4'!C14</f>
        <v>Керівництво і управління у відповідній сфері у містах (місті Києві), селищах, селах, об’єднаних територіальних громадах</v>
      </c>
      <c r="E249" s="90">
        <f>F249+I249</f>
        <v>3506700</v>
      </c>
      <c r="F249" s="90">
        <f>3525900-19200</f>
        <v>3506700</v>
      </c>
      <c r="G249" s="90">
        <v>2745200</v>
      </c>
      <c r="H249" s="90">
        <v>36300</v>
      </c>
      <c r="I249" s="90"/>
      <c r="J249" s="90">
        <f>K249+N249</f>
        <v>40000</v>
      </c>
      <c r="K249" s="90"/>
      <c r="L249" s="90"/>
      <c r="M249" s="90"/>
      <c r="N249" s="90">
        <v>40000</v>
      </c>
      <c r="O249" s="90">
        <v>40000</v>
      </c>
      <c r="P249" s="90">
        <f>E249+J249</f>
        <v>3546700</v>
      </c>
      <c r="Q249" s="258"/>
      <c r="R249" s="187"/>
      <c r="S249" s="187"/>
      <c r="T249" s="187"/>
    </row>
    <row r="250" spans="1:20" s="129" customFormat="1" ht="28.5">
      <c r="A250" s="127" t="s">
        <v>337</v>
      </c>
      <c r="B250" s="37"/>
      <c r="C250" s="37"/>
      <c r="D250" s="36" t="s">
        <v>71</v>
      </c>
      <c r="E250" s="47">
        <f>E251</f>
        <v>17290300</v>
      </c>
      <c r="F250" s="47">
        <f aca="true" t="shared" si="90" ref="F250:P250">F251</f>
        <v>16390300</v>
      </c>
      <c r="G250" s="47">
        <f t="shared" si="90"/>
        <v>11700000</v>
      </c>
      <c r="H250" s="47">
        <f t="shared" si="90"/>
        <v>250267</v>
      </c>
      <c r="I250" s="47">
        <f t="shared" si="90"/>
        <v>900000</v>
      </c>
      <c r="J250" s="47">
        <f t="shared" si="90"/>
        <v>69500</v>
      </c>
      <c r="K250" s="47">
        <f t="shared" si="90"/>
        <v>0</v>
      </c>
      <c r="L250" s="47">
        <f t="shared" si="90"/>
        <v>0</v>
      </c>
      <c r="M250" s="47">
        <f t="shared" si="90"/>
        <v>0</v>
      </c>
      <c r="N250" s="47">
        <f t="shared" si="90"/>
        <v>69500</v>
      </c>
      <c r="O250" s="47">
        <f t="shared" si="90"/>
        <v>69500</v>
      </c>
      <c r="P250" s="47">
        <f t="shared" si="90"/>
        <v>17359800</v>
      </c>
      <c r="Q250" s="258"/>
      <c r="R250" s="185"/>
      <c r="S250" s="185"/>
      <c r="T250" s="185"/>
    </row>
    <row r="251" spans="1:20" s="132" customFormat="1" ht="30.75" customHeight="1">
      <c r="A251" s="130" t="s">
        <v>338</v>
      </c>
      <c r="B251" s="144"/>
      <c r="C251" s="144"/>
      <c r="D251" s="143" t="s">
        <v>71</v>
      </c>
      <c r="E251" s="87">
        <f>E252+E253+E254+E255+E256+E257</f>
        <v>17290300</v>
      </c>
      <c r="F251" s="87">
        <f aca="true" t="shared" si="91" ref="F251:P251">F252+F253+F254+F255+F256+F257</f>
        <v>16390300</v>
      </c>
      <c r="G251" s="87">
        <f t="shared" si="91"/>
        <v>11700000</v>
      </c>
      <c r="H251" s="87">
        <f t="shared" si="91"/>
        <v>250267</v>
      </c>
      <c r="I251" s="87">
        <f t="shared" si="91"/>
        <v>900000</v>
      </c>
      <c r="J251" s="87">
        <f t="shared" si="91"/>
        <v>69500</v>
      </c>
      <c r="K251" s="87">
        <f t="shared" si="91"/>
        <v>0</v>
      </c>
      <c r="L251" s="87">
        <f t="shared" si="91"/>
        <v>0</v>
      </c>
      <c r="M251" s="87">
        <f t="shared" si="91"/>
        <v>0</v>
      </c>
      <c r="N251" s="87">
        <f t="shared" si="91"/>
        <v>69500</v>
      </c>
      <c r="O251" s="87">
        <f t="shared" si="91"/>
        <v>69500</v>
      </c>
      <c r="P251" s="87">
        <f t="shared" si="91"/>
        <v>17359800</v>
      </c>
      <c r="Q251" s="258"/>
      <c r="R251" s="194"/>
      <c r="S251" s="194"/>
      <c r="T251" s="194"/>
    </row>
    <row r="252" spans="1:20" s="129" customFormat="1" ht="54" customHeight="1">
      <c r="A252" s="88" t="s">
        <v>339</v>
      </c>
      <c r="B252" s="88" t="str">
        <f>'дод. 4'!A14</f>
        <v>0160</v>
      </c>
      <c r="C252" s="88" t="str">
        <f>'дод. 4'!B14</f>
        <v>0111</v>
      </c>
      <c r="D252" s="89" t="str">
        <f>'дод. 4'!C14</f>
        <v>Керівництво і управління у відповідній сфері у містах (місті Києві), селищах, селах, об’єднаних територіальних громадах</v>
      </c>
      <c r="E252" s="90">
        <f>F252+I252</f>
        <v>15013300</v>
      </c>
      <c r="F252" s="90">
        <f>15102100-88800</f>
        <v>15013300</v>
      </c>
      <c r="G252" s="90">
        <v>11700000</v>
      </c>
      <c r="H252" s="90">
        <v>250267</v>
      </c>
      <c r="I252" s="90"/>
      <c r="J252" s="90">
        <f>K252+N252</f>
        <v>19500</v>
      </c>
      <c r="K252" s="90"/>
      <c r="L252" s="90"/>
      <c r="M252" s="90"/>
      <c r="N252" s="90">
        <f>150000-130500</f>
        <v>19500</v>
      </c>
      <c r="O252" s="90">
        <f>150000-130500</f>
        <v>19500</v>
      </c>
      <c r="P252" s="90">
        <f>E252+J252</f>
        <v>15032800</v>
      </c>
      <c r="Q252" s="258"/>
      <c r="R252" s="187"/>
      <c r="S252" s="187"/>
      <c r="T252" s="187"/>
    </row>
    <row r="253" spans="1:20" s="152" customFormat="1" ht="29.25" customHeight="1">
      <c r="A253" s="88" t="s">
        <v>340</v>
      </c>
      <c r="B253" s="88" t="str">
        <f>'дод. 4'!A163</f>
        <v>7130</v>
      </c>
      <c r="C253" s="88" t="str">
        <f>'дод. 4'!B163</f>
        <v>0421</v>
      </c>
      <c r="D253" s="123" t="str">
        <f>'дод. 4'!C163</f>
        <v>Здійснення  заходів із землеустрою</v>
      </c>
      <c r="E253" s="90">
        <f>F253+I253</f>
        <v>550000</v>
      </c>
      <c r="F253" s="150">
        <f>50000+500000</f>
        <v>550000</v>
      </c>
      <c r="G253" s="151"/>
      <c r="H253" s="151"/>
      <c r="I253" s="151"/>
      <c r="J253" s="90">
        <f>K253+N253</f>
        <v>0</v>
      </c>
      <c r="K253" s="151"/>
      <c r="L253" s="151"/>
      <c r="M253" s="151"/>
      <c r="N253" s="151"/>
      <c r="O253" s="151"/>
      <c r="P253" s="90">
        <f>E253+J253</f>
        <v>550000</v>
      </c>
      <c r="Q253" s="258"/>
      <c r="R253" s="187"/>
      <c r="S253" s="187"/>
      <c r="T253" s="187"/>
    </row>
    <row r="254" spans="1:20" s="4" customFormat="1" ht="30">
      <c r="A254" s="98" t="s">
        <v>341</v>
      </c>
      <c r="B254" s="98" t="str">
        <f>'дод. 4'!A182</f>
        <v>7610</v>
      </c>
      <c r="C254" s="98" t="str">
        <f>'дод. 4'!B182</f>
        <v>0411</v>
      </c>
      <c r="D254" s="121" t="str">
        <f>'дод. 4'!C182</f>
        <v>Сприяння розвитку малого та середнього підприємництва</v>
      </c>
      <c r="E254" s="90">
        <f>F254+I254</f>
        <v>1085000</v>
      </c>
      <c r="F254" s="90">
        <v>185000</v>
      </c>
      <c r="G254" s="90"/>
      <c r="H254" s="90"/>
      <c r="I254" s="90">
        <v>900000</v>
      </c>
      <c r="J254" s="90">
        <f>K254+N254</f>
        <v>0</v>
      </c>
      <c r="K254" s="90"/>
      <c r="L254" s="90"/>
      <c r="M254" s="90"/>
      <c r="N254" s="90"/>
      <c r="O254" s="90"/>
      <c r="P254" s="90">
        <f>E254+J254</f>
        <v>1085000</v>
      </c>
      <c r="Q254" s="258"/>
      <c r="R254" s="187"/>
      <c r="S254" s="187"/>
      <c r="T254" s="187"/>
    </row>
    <row r="255" spans="1:20" s="137" customFormat="1" ht="37.5" customHeight="1">
      <c r="A255" s="98" t="s">
        <v>417</v>
      </c>
      <c r="B255" s="98" t="str">
        <f>'дод. 4'!A184</f>
        <v>7650</v>
      </c>
      <c r="C255" s="98" t="str">
        <f>'дод. 4'!B184</f>
        <v>0490</v>
      </c>
      <c r="D255" s="121" t="str">
        <f>'дод. 4'!C184</f>
        <v>Проведення експертної  грошової  оцінки  земельної ділянки чи права на неї</v>
      </c>
      <c r="E255" s="90">
        <f>F255+I255</f>
        <v>0</v>
      </c>
      <c r="F255" s="90"/>
      <c r="G255" s="90"/>
      <c r="H255" s="90"/>
      <c r="I255" s="90"/>
      <c r="J255" s="90">
        <f>K255+N255</f>
        <v>25000</v>
      </c>
      <c r="K255" s="90"/>
      <c r="L255" s="90"/>
      <c r="M255" s="90"/>
      <c r="N255" s="90">
        <v>25000</v>
      </c>
      <c r="O255" s="90">
        <v>25000</v>
      </c>
      <c r="P255" s="90">
        <f>E255+J255</f>
        <v>25000</v>
      </c>
      <c r="Q255" s="251">
        <v>23</v>
      </c>
      <c r="R255" s="187"/>
      <c r="S255" s="187"/>
      <c r="T255" s="187"/>
    </row>
    <row r="256" spans="1:20" s="137" customFormat="1" ht="60">
      <c r="A256" s="98" t="s">
        <v>419</v>
      </c>
      <c r="B256" s="98" t="str">
        <f>'дод. 4'!A185</f>
        <v>7660</v>
      </c>
      <c r="C256" s="98" t="str">
        <f>'дод. 4'!B185</f>
        <v>0490</v>
      </c>
      <c r="D256" s="121" t="str">
        <f>'дод. 4'!C185</f>
        <v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v>
      </c>
      <c r="E256" s="90">
        <f>F256+I256</f>
        <v>0</v>
      </c>
      <c r="F256" s="90"/>
      <c r="G256" s="90"/>
      <c r="H256" s="90"/>
      <c r="I256" s="90"/>
      <c r="J256" s="90">
        <f>K256+N256</f>
        <v>25000</v>
      </c>
      <c r="K256" s="90"/>
      <c r="L256" s="90"/>
      <c r="M256" s="90"/>
      <c r="N256" s="90">
        <v>25000</v>
      </c>
      <c r="O256" s="90">
        <v>25000</v>
      </c>
      <c r="P256" s="90">
        <f>E256+J256</f>
        <v>25000</v>
      </c>
      <c r="Q256" s="251"/>
      <c r="R256" s="187"/>
      <c r="S256" s="187"/>
      <c r="T256" s="187"/>
    </row>
    <row r="257" spans="1:20" s="4" customFormat="1" ht="22.5" customHeight="1">
      <c r="A257" s="98" t="s">
        <v>411</v>
      </c>
      <c r="B257" s="98" t="str">
        <f>'дод. 4'!A188</f>
        <v>7690</v>
      </c>
      <c r="C257" s="98">
        <f>'дод. 4'!B188</f>
        <v>0</v>
      </c>
      <c r="D257" s="121" t="str">
        <f>'дод. 4'!C188</f>
        <v>Інша економічна діяльність</v>
      </c>
      <c r="E257" s="90">
        <f>E258</f>
        <v>642000</v>
      </c>
      <c r="F257" s="90">
        <f aca="true" t="shared" si="92" ref="F257:P257">F258</f>
        <v>642000</v>
      </c>
      <c r="G257" s="90">
        <f t="shared" si="92"/>
        <v>0</v>
      </c>
      <c r="H257" s="90">
        <f t="shared" si="92"/>
        <v>0</v>
      </c>
      <c r="I257" s="90">
        <f t="shared" si="92"/>
        <v>0</v>
      </c>
      <c r="J257" s="90">
        <f t="shared" si="92"/>
        <v>0</v>
      </c>
      <c r="K257" s="90">
        <f t="shared" si="92"/>
        <v>0</v>
      </c>
      <c r="L257" s="90">
        <f t="shared" si="92"/>
        <v>0</v>
      </c>
      <c r="M257" s="90">
        <f t="shared" si="92"/>
        <v>0</v>
      </c>
      <c r="N257" s="90">
        <f t="shared" si="92"/>
        <v>0</v>
      </c>
      <c r="O257" s="90">
        <f t="shared" si="92"/>
        <v>0</v>
      </c>
      <c r="P257" s="90">
        <f t="shared" si="92"/>
        <v>642000</v>
      </c>
      <c r="Q257" s="251"/>
      <c r="R257" s="188">
        <f>R258</f>
        <v>0</v>
      </c>
      <c r="S257" s="188">
        <f>S258</f>
        <v>0</v>
      </c>
      <c r="T257" s="188"/>
    </row>
    <row r="258" spans="1:20" s="134" customFormat="1" ht="23.25" customHeight="1">
      <c r="A258" s="135" t="s">
        <v>412</v>
      </c>
      <c r="B258" s="135" t="str">
        <f>'дод. 4'!A190</f>
        <v>7693</v>
      </c>
      <c r="C258" s="135" t="str">
        <f>'дод. 4'!B190</f>
        <v>0490</v>
      </c>
      <c r="D258" s="136" t="str">
        <f>'дод. 4'!C190</f>
        <v>Інші заходи, пов'язані з економічною діяльністю</v>
      </c>
      <c r="E258" s="93">
        <f>F258+I258</f>
        <v>642000</v>
      </c>
      <c r="F258" s="93">
        <v>642000</v>
      </c>
      <c r="G258" s="93"/>
      <c r="H258" s="93"/>
      <c r="I258" s="93"/>
      <c r="J258" s="93">
        <f>K258+N258</f>
        <v>0</v>
      </c>
      <c r="K258" s="93"/>
      <c r="L258" s="93"/>
      <c r="M258" s="93"/>
      <c r="N258" s="93"/>
      <c r="O258" s="93"/>
      <c r="P258" s="93">
        <f>E258+J258</f>
        <v>642000</v>
      </c>
      <c r="Q258" s="251"/>
      <c r="R258" s="189"/>
      <c r="S258" s="189"/>
      <c r="T258" s="189"/>
    </row>
    <row r="259" spans="1:20" s="129" customFormat="1" ht="28.5">
      <c r="A259" s="127" t="s">
        <v>347</v>
      </c>
      <c r="B259" s="37"/>
      <c r="C259" s="37"/>
      <c r="D259" s="36" t="s">
        <v>350</v>
      </c>
      <c r="E259" s="47">
        <f>E260</f>
        <v>146700</v>
      </c>
      <c r="F259" s="47">
        <f aca="true" t="shared" si="93" ref="F259:P260">F260</f>
        <v>146700</v>
      </c>
      <c r="G259" s="47">
        <f t="shared" si="93"/>
        <v>120245</v>
      </c>
      <c r="H259" s="47">
        <f t="shared" si="93"/>
        <v>0</v>
      </c>
      <c r="I259" s="47">
        <f t="shared" si="93"/>
        <v>0</v>
      </c>
      <c r="J259" s="47">
        <f t="shared" si="93"/>
        <v>0</v>
      </c>
      <c r="K259" s="47">
        <f t="shared" si="93"/>
        <v>0</v>
      </c>
      <c r="L259" s="47">
        <f t="shared" si="93"/>
        <v>0</v>
      </c>
      <c r="M259" s="47">
        <f t="shared" si="93"/>
        <v>0</v>
      </c>
      <c r="N259" s="47">
        <f t="shared" si="93"/>
        <v>0</v>
      </c>
      <c r="O259" s="47">
        <f t="shared" si="93"/>
        <v>0</v>
      </c>
      <c r="P259" s="47">
        <f t="shared" si="93"/>
        <v>146700</v>
      </c>
      <c r="Q259" s="251"/>
      <c r="R259" s="185">
        <f>R261</f>
        <v>0</v>
      </c>
      <c r="S259" s="185">
        <f>S261</f>
        <v>0</v>
      </c>
      <c r="T259" s="185">
        <f>T261</f>
        <v>0</v>
      </c>
    </row>
    <row r="260" spans="1:20" s="132" customFormat="1" ht="36.75" customHeight="1">
      <c r="A260" s="130" t="s">
        <v>348</v>
      </c>
      <c r="B260" s="144"/>
      <c r="C260" s="144"/>
      <c r="D260" s="143" t="s">
        <v>350</v>
      </c>
      <c r="E260" s="87">
        <f>E261</f>
        <v>146700</v>
      </c>
      <c r="F260" s="87">
        <f t="shared" si="93"/>
        <v>146700</v>
      </c>
      <c r="G260" s="87">
        <f t="shared" si="93"/>
        <v>120245</v>
      </c>
      <c r="H260" s="87">
        <f t="shared" si="93"/>
        <v>0</v>
      </c>
      <c r="I260" s="87">
        <f t="shared" si="93"/>
        <v>0</v>
      </c>
      <c r="J260" s="87">
        <f t="shared" si="93"/>
        <v>0</v>
      </c>
      <c r="K260" s="87">
        <f t="shared" si="93"/>
        <v>0</v>
      </c>
      <c r="L260" s="87">
        <f t="shared" si="93"/>
        <v>0</v>
      </c>
      <c r="M260" s="87">
        <f t="shared" si="93"/>
        <v>0</v>
      </c>
      <c r="N260" s="87">
        <f t="shared" si="93"/>
        <v>0</v>
      </c>
      <c r="O260" s="87">
        <f t="shared" si="93"/>
        <v>0</v>
      </c>
      <c r="P260" s="87">
        <f t="shared" si="93"/>
        <v>146700</v>
      </c>
      <c r="Q260" s="251"/>
      <c r="R260" s="194">
        <f>R261</f>
        <v>0</v>
      </c>
      <c r="S260" s="194">
        <f>S261</f>
        <v>0</v>
      </c>
      <c r="T260" s="194">
        <f>T261</f>
        <v>0</v>
      </c>
    </row>
    <row r="261" spans="1:20" s="4" customFormat="1" ht="45">
      <c r="A261" s="88" t="s">
        <v>349</v>
      </c>
      <c r="B261" s="88" t="str">
        <f>'дод. 4'!A14</f>
        <v>0160</v>
      </c>
      <c r="C261" s="88" t="str">
        <f>'дод. 4'!B14</f>
        <v>0111</v>
      </c>
      <c r="D261" s="89" t="str">
        <f>'дод. 4'!C14</f>
        <v>Керівництво і управління у відповідній сфері у містах (місті Києві), селищах, селах, об’єднаних територіальних громадах</v>
      </c>
      <c r="E261" s="90">
        <f>F261+I261</f>
        <v>146700</v>
      </c>
      <c r="F261" s="90">
        <v>146700</v>
      </c>
      <c r="G261" s="90">
        <v>120245</v>
      </c>
      <c r="H261" s="90"/>
      <c r="I261" s="90"/>
      <c r="J261" s="90">
        <f>K261+N261</f>
        <v>0</v>
      </c>
      <c r="K261" s="90"/>
      <c r="L261" s="90"/>
      <c r="M261" s="90"/>
      <c r="N261" s="90"/>
      <c r="O261" s="90"/>
      <c r="P261" s="90">
        <f>E261+J261</f>
        <v>146700</v>
      </c>
      <c r="Q261" s="251"/>
      <c r="R261" s="187"/>
      <c r="S261" s="187"/>
      <c r="T261" s="187"/>
    </row>
    <row r="262" spans="1:20" s="129" customFormat="1" ht="33" customHeight="1">
      <c r="A262" s="127" t="s">
        <v>342</v>
      </c>
      <c r="B262" s="37"/>
      <c r="C262" s="37"/>
      <c r="D262" s="36" t="s">
        <v>73</v>
      </c>
      <c r="E262" s="47">
        <f>E263</f>
        <v>109316834.97</v>
      </c>
      <c r="F262" s="47">
        <f aca="true" t="shared" si="94" ref="F262:P262">F263</f>
        <v>104114152.41</v>
      </c>
      <c r="G262" s="47">
        <f t="shared" si="94"/>
        <v>12928412</v>
      </c>
      <c r="H262" s="47">
        <f t="shared" si="94"/>
        <v>183655</v>
      </c>
      <c r="I262" s="47">
        <f t="shared" si="94"/>
        <v>0</v>
      </c>
      <c r="J262" s="47">
        <f t="shared" si="94"/>
        <v>581000</v>
      </c>
      <c r="K262" s="47">
        <f t="shared" si="94"/>
        <v>20000</v>
      </c>
      <c r="L262" s="47">
        <f t="shared" si="94"/>
        <v>0</v>
      </c>
      <c r="M262" s="47">
        <f t="shared" si="94"/>
        <v>0</v>
      </c>
      <c r="N262" s="47">
        <f t="shared" si="94"/>
        <v>561000</v>
      </c>
      <c r="O262" s="47">
        <f t="shared" si="94"/>
        <v>561000</v>
      </c>
      <c r="P262" s="47">
        <f t="shared" si="94"/>
        <v>109897834.97</v>
      </c>
      <c r="Q262" s="251"/>
      <c r="R262" s="185"/>
      <c r="S262" s="185"/>
      <c r="T262" s="185"/>
    </row>
    <row r="263" spans="1:20" s="132" customFormat="1" ht="30.75" customHeight="1">
      <c r="A263" s="130" t="s">
        <v>343</v>
      </c>
      <c r="B263" s="144"/>
      <c r="C263" s="144"/>
      <c r="D263" s="143" t="s">
        <v>73</v>
      </c>
      <c r="E263" s="87">
        <f aca="true" t="shared" si="95" ref="E263:P263">E264+E265+E266+E267+E268+E269+E270</f>
        <v>109316834.97</v>
      </c>
      <c r="F263" s="87">
        <f t="shared" si="95"/>
        <v>104114152.41</v>
      </c>
      <c r="G263" s="87">
        <f t="shared" si="95"/>
        <v>12928412</v>
      </c>
      <c r="H263" s="87">
        <f t="shared" si="95"/>
        <v>183655</v>
      </c>
      <c r="I263" s="87">
        <f t="shared" si="95"/>
        <v>0</v>
      </c>
      <c r="J263" s="87">
        <f t="shared" si="95"/>
        <v>581000</v>
      </c>
      <c r="K263" s="87">
        <f t="shared" si="95"/>
        <v>20000</v>
      </c>
      <c r="L263" s="87">
        <f t="shared" si="95"/>
        <v>0</v>
      </c>
      <c r="M263" s="87">
        <f t="shared" si="95"/>
        <v>0</v>
      </c>
      <c r="N263" s="87">
        <f t="shared" si="95"/>
        <v>561000</v>
      </c>
      <c r="O263" s="87">
        <f t="shared" si="95"/>
        <v>561000</v>
      </c>
      <c r="P263" s="87">
        <f t="shared" si="95"/>
        <v>109897834.97</v>
      </c>
      <c r="Q263" s="251"/>
      <c r="R263" s="191"/>
      <c r="S263" s="191"/>
      <c r="T263" s="191"/>
    </row>
    <row r="264" spans="1:20" s="4" customFormat="1" ht="45">
      <c r="A264" s="88" t="s">
        <v>344</v>
      </c>
      <c r="B264" s="88" t="str">
        <f>'дод. 4'!A14</f>
        <v>0160</v>
      </c>
      <c r="C264" s="88" t="str">
        <f>'дод. 4'!B14</f>
        <v>0111</v>
      </c>
      <c r="D264" s="89" t="str">
        <f>'дод. 4'!C14</f>
        <v>Керівництво і управління у відповідній сфері у містах (місті Києві), селищах, селах, об’єднаних територіальних громадах</v>
      </c>
      <c r="E264" s="90">
        <f>F264+I264</f>
        <v>16561600</v>
      </c>
      <c r="F264" s="90">
        <f>16667200-105600</f>
        <v>16561600</v>
      </c>
      <c r="G264" s="90">
        <v>12928412</v>
      </c>
      <c r="H264" s="90">
        <v>183655</v>
      </c>
      <c r="I264" s="90"/>
      <c r="J264" s="90">
        <f aca="true" t="shared" si="96" ref="J264:J270">K264+N264</f>
        <v>61000</v>
      </c>
      <c r="K264" s="90"/>
      <c r="L264" s="90"/>
      <c r="M264" s="90"/>
      <c r="N264" s="90">
        <f>184000-123000</f>
        <v>61000</v>
      </c>
      <c r="O264" s="90">
        <f>184000-123000</f>
        <v>61000</v>
      </c>
      <c r="P264" s="90">
        <f aca="true" t="shared" si="97" ref="P264:P270">E264+J264</f>
        <v>16622600</v>
      </c>
      <c r="Q264" s="251"/>
      <c r="R264" s="187"/>
      <c r="S264" s="187"/>
      <c r="T264" s="187"/>
    </row>
    <row r="265" spans="1:20" s="4" customFormat="1" ht="23.25" customHeight="1">
      <c r="A265" s="88" t="s">
        <v>403</v>
      </c>
      <c r="B265" s="88" t="str">
        <f>'дод. 4'!A183</f>
        <v>7640</v>
      </c>
      <c r="C265" s="88" t="str">
        <f>'дод. 4'!B183</f>
        <v>0470</v>
      </c>
      <c r="D265" s="122" t="str">
        <f>'дод. 4'!C183</f>
        <v>Заходи з енергозбереження</v>
      </c>
      <c r="E265" s="90">
        <f>F265+I265</f>
        <v>75000</v>
      </c>
      <c r="F265" s="90">
        <v>75000</v>
      </c>
      <c r="G265" s="90"/>
      <c r="H265" s="90"/>
      <c r="I265" s="90"/>
      <c r="J265" s="90">
        <f>K265+N265</f>
        <v>0</v>
      </c>
      <c r="K265" s="90"/>
      <c r="L265" s="90"/>
      <c r="M265" s="90"/>
      <c r="N265" s="90"/>
      <c r="O265" s="90"/>
      <c r="P265" s="90">
        <f t="shared" si="97"/>
        <v>75000</v>
      </c>
      <c r="Q265" s="251"/>
      <c r="R265" s="187"/>
      <c r="S265" s="187"/>
      <c r="T265" s="187"/>
    </row>
    <row r="266" spans="1:20" s="4" customFormat="1" ht="27" customHeight="1">
      <c r="A266" s="88" t="s">
        <v>345</v>
      </c>
      <c r="B266" s="88" t="str">
        <f>'дод. 4'!A199</f>
        <v>8340</v>
      </c>
      <c r="C266" s="88" t="str">
        <f>'дод. 4'!B199</f>
        <v>0540</v>
      </c>
      <c r="D266" s="122" t="str">
        <f>'дод. 4'!C199</f>
        <v>Природоохоронні заходи за рахунок цільових фондів</v>
      </c>
      <c r="E266" s="90">
        <f>F266+I266</f>
        <v>0</v>
      </c>
      <c r="F266" s="90"/>
      <c r="G266" s="90"/>
      <c r="H266" s="90"/>
      <c r="I266" s="90"/>
      <c r="J266" s="90">
        <f t="shared" si="96"/>
        <v>20000</v>
      </c>
      <c r="K266" s="90">
        <v>20000</v>
      </c>
      <c r="L266" s="90"/>
      <c r="M266" s="90"/>
      <c r="N266" s="90"/>
      <c r="O266" s="90"/>
      <c r="P266" s="90">
        <f t="shared" si="97"/>
        <v>20000</v>
      </c>
      <c r="Q266" s="251"/>
      <c r="R266" s="187"/>
      <c r="S266" s="187"/>
      <c r="T266" s="187"/>
    </row>
    <row r="267" spans="1:20" s="4" customFormat="1" ht="22.5" customHeight="1">
      <c r="A267" s="88" t="s">
        <v>346</v>
      </c>
      <c r="B267" s="88" t="str">
        <f>'дод. 4'!A202</f>
        <v>8600</v>
      </c>
      <c r="C267" s="88" t="str">
        <f>'дод. 4'!B202</f>
        <v>0170</v>
      </c>
      <c r="D267" s="122" t="str">
        <f>'дод. 4'!C202</f>
        <v>Обслуговування місцевого боргу</v>
      </c>
      <c r="E267" s="90">
        <f>F267+I267</f>
        <v>177952.41</v>
      </c>
      <c r="F267" s="90">
        <f>180850-2897.59</f>
        <v>177952.41</v>
      </c>
      <c r="G267" s="90"/>
      <c r="H267" s="90"/>
      <c r="I267" s="90"/>
      <c r="J267" s="90">
        <f t="shared" si="96"/>
        <v>0</v>
      </c>
      <c r="K267" s="90"/>
      <c r="L267" s="90"/>
      <c r="M267" s="90"/>
      <c r="N267" s="90"/>
      <c r="O267" s="90"/>
      <c r="P267" s="90">
        <f t="shared" si="97"/>
        <v>177952.41</v>
      </c>
      <c r="Q267" s="251"/>
      <c r="R267" s="187"/>
      <c r="S267" s="187"/>
      <c r="T267" s="187"/>
    </row>
    <row r="268" spans="1:20" s="4" customFormat="1" ht="21" customHeight="1">
      <c r="A268" s="88" t="s">
        <v>374</v>
      </c>
      <c r="B268" s="88" t="str">
        <f>'дод. 4'!A203</f>
        <v>8700</v>
      </c>
      <c r="C268" s="88" t="str">
        <f>'дод. 4'!B203</f>
        <v>0133</v>
      </c>
      <c r="D268" s="122" t="str">
        <f>'дод. 4'!C203</f>
        <v>Резервний фонд</v>
      </c>
      <c r="E268" s="90">
        <f>15430600-500000-700000-211500+200000+41298+669995.82-6700-262200-22626-43510-50000-50000-30100+313616-175000-500000+42959.44+25000+13710+15100+55000-6102960.7-800000-2000000-150000</f>
        <v>5202682.56</v>
      </c>
      <c r="F268" s="90"/>
      <c r="G268" s="90"/>
      <c r="H268" s="90"/>
      <c r="I268" s="90"/>
      <c r="J268" s="90">
        <f t="shared" si="96"/>
        <v>0</v>
      </c>
      <c r="K268" s="90"/>
      <c r="L268" s="90"/>
      <c r="M268" s="90"/>
      <c r="N268" s="90"/>
      <c r="O268" s="90"/>
      <c r="P268" s="90">
        <f t="shared" si="97"/>
        <v>5202682.56</v>
      </c>
      <c r="Q268" s="251"/>
      <c r="R268" s="187"/>
      <c r="S268" s="187"/>
      <c r="T268" s="187"/>
    </row>
    <row r="269" spans="1:20" s="4" customFormat="1" ht="21.75" customHeight="1">
      <c r="A269" s="88" t="s">
        <v>375</v>
      </c>
      <c r="B269" s="88" t="str">
        <f>'дод. 4'!A206</f>
        <v>9110</v>
      </c>
      <c r="C269" s="88" t="str">
        <f>'дод. 4'!B206</f>
        <v>0180</v>
      </c>
      <c r="D269" s="122" t="str">
        <f>'дод. 4'!C206</f>
        <v>Реверсна дотація</v>
      </c>
      <c r="E269" s="90">
        <f>F269+I269</f>
        <v>87299600</v>
      </c>
      <c r="F269" s="90">
        <v>87299600</v>
      </c>
      <c r="G269" s="90"/>
      <c r="H269" s="90"/>
      <c r="I269" s="90"/>
      <c r="J269" s="90">
        <f t="shared" si="96"/>
        <v>0</v>
      </c>
      <c r="K269" s="90"/>
      <c r="L269" s="90"/>
      <c r="M269" s="90"/>
      <c r="N269" s="90"/>
      <c r="O269" s="90"/>
      <c r="P269" s="90">
        <f t="shared" si="97"/>
        <v>87299600</v>
      </c>
      <c r="Q269" s="251"/>
      <c r="R269" s="187"/>
      <c r="S269" s="187"/>
      <c r="T269" s="187"/>
    </row>
    <row r="270" spans="1:20" s="4" customFormat="1" ht="21.75" customHeight="1">
      <c r="A270" s="88" t="s">
        <v>502</v>
      </c>
      <c r="B270" s="88" t="str">
        <f>'дод. 4'!A208</f>
        <v>9770</v>
      </c>
      <c r="C270" s="88" t="str">
        <f>'дод. 4'!B208</f>
        <v>0180</v>
      </c>
      <c r="D270" s="123" t="str">
        <f>'дод. 4'!C208</f>
        <v>Інші субвенції з місцевого бюджету </v>
      </c>
      <c r="E270" s="90">
        <f>F270+I270</f>
        <v>0</v>
      </c>
      <c r="F270" s="90"/>
      <c r="G270" s="90"/>
      <c r="H270" s="90"/>
      <c r="I270" s="90"/>
      <c r="J270" s="90">
        <f t="shared" si="96"/>
        <v>500000</v>
      </c>
      <c r="K270" s="90"/>
      <c r="L270" s="90"/>
      <c r="M270" s="90"/>
      <c r="N270" s="90">
        <v>500000</v>
      </c>
      <c r="O270" s="90">
        <v>500000</v>
      </c>
      <c r="P270" s="90">
        <f t="shared" si="97"/>
        <v>500000</v>
      </c>
      <c r="Q270" s="251"/>
      <c r="R270" s="187"/>
      <c r="S270" s="187"/>
      <c r="T270" s="187"/>
    </row>
    <row r="271" spans="1:20" s="129" customFormat="1" ht="20.25" customHeight="1">
      <c r="A271" s="38"/>
      <c r="B271" s="37"/>
      <c r="C271" s="37"/>
      <c r="D271" s="36" t="s">
        <v>39</v>
      </c>
      <c r="E271" s="47">
        <f aca="true" t="shared" si="98" ref="E271:P271">E13+E60+E85+E116+E186+E191+E200+E221+E225+E241+E247+E250+E259+E262</f>
        <v>2803372895.6699996</v>
      </c>
      <c r="F271" s="47">
        <f t="shared" si="98"/>
        <v>2765685741.41</v>
      </c>
      <c r="G271" s="47">
        <f t="shared" si="98"/>
        <v>663396378.1</v>
      </c>
      <c r="H271" s="47">
        <f t="shared" si="98"/>
        <v>95161855</v>
      </c>
      <c r="I271" s="47">
        <f t="shared" si="98"/>
        <v>32484471.7</v>
      </c>
      <c r="J271" s="47">
        <f t="shared" si="98"/>
        <v>476972023</v>
      </c>
      <c r="K271" s="47">
        <f t="shared" si="98"/>
        <v>72333808</v>
      </c>
      <c r="L271" s="47">
        <f t="shared" si="98"/>
        <v>6315206</v>
      </c>
      <c r="M271" s="47">
        <f t="shared" si="98"/>
        <v>2472134</v>
      </c>
      <c r="N271" s="47">
        <f t="shared" si="98"/>
        <v>404638215</v>
      </c>
      <c r="O271" s="47">
        <f t="shared" si="98"/>
        <v>401701795</v>
      </c>
      <c r="P271" s="47">
        <f t="shared" si="98"/>
        <v>3280344918.6699996</v>
      </c>
      <c r="Q271" s="251"/>
      <c r="R271" s="185"/>
      <c r="S271" s="185"/>
      <c r="T271" s="185"/>
    </row>
    <row r="272" spans="1:20" s="129" customFormat="1" ht="27.75" customHeight="1">
      <c r="A272" s="60"/>
      <c r="B272" s="61"/>
      <c r="C272" s="61"/>
      <c r="D272" s="36" t="s">
        <v>416</v>
      </c>
      <c r="E272" s="48">
        <f aca="true" t="shared" si="99" ref="E272:P272">E62+E87+E118</f>
        <v>1629008100</v>
      </c>
      <c r="F272" s="48">
        <f t="shared" si="99"/>
        <v>1629008100</v>
      </c>
      <c r="G272" s="48">
        <f t="shared" si="99"/>
        <v>212872900</v>
      </c>
      <c r="H272" s="48">
        <f t="shared" si="99"/>
        <v>0</v>
      </c>
      <c r="I272" s="48">
        <f t="shared" si="99"/>
        <v>0</v>
      </c>
      <c r="J272" s="48">
        <f t="shared" si="99"/>
        <v>0</v>
      </c>
      <c r="K272" s="48">
        <f t="shared" si="99"/>
        <v>0</v>
      </c>
      <c r="L272" s="48">
        <f t="shared" si="99"/>
        <v>0</v>
      </c>
      <c r="M272" s="48">
        <f t="shared" si="99"/>
        <v>0</v>
      </c>
      <c r="N272" s="48">
        <f t="shared" si="99"/>
        <v>0</v>
      </c>
      <c r="O272" s="48">
        <f t="shared" si="99"/>
        <v>0</v>
      </c>
      <c r="P272" s="48">
        <f t="shared" si="99"/>
        <v>1629008100</v>
      </c>
      <c r="Q272" s="251"/>
      <c r="R272" s="104"/>
      <c r="S272" s="104"/>
      <c r="T272" s="104"/>
    </row>
    <row r="273" spans="1:17" s="197" customFormat="1" ht="79.5" customHeight="1">
      <c r="A273" s="105"/>
      <c r="B273" s="102"/>
      <c r="C273" s="102"/>
      <c r="D273" s="103"/>
      <c r="E273" s="104"/>
      <c r="F273" s="104"/>
      <c r="G273" s="104"/>
      <c r="H273" s="104"/>
      <c r="I273" s="104"/>
      <c r="J273" s="104"/>
      <c r="K273" s="104"/>
      <c r="L273" s="104"/>
      <c r="M273" s="104"/>
      <c r="N273" s="104"/>
      <c r="O273" s="104"/>
      <c r="P273" s="104"/>
      <c r="Q273" s="251"/>
    </row>
    <row r="274" spans="1:17" s="197" customFormat="1" ht="51.75" customHeight="1">
      <c r="A274" s="256" t="s">
        <v>602</v>
      </c>
      <c r="B274" s="256"/>
      <c r="C274" s="256"/>
      <c r="D274" s="256"/>
      <c r="E274" s="256"/>
      <c r="F274" s="237"/>
      <c r="G274" s="237"/>
      <c r="H274" s="237"/>
      <c r="I274" s="237"/>
      <c r="J274" s="237"/>
      <c r="K274" s="237"/>
      <c r="L274" s="237"/>
      <c r="M274" s="259" t="s">
        <v>603</v>
      </c>
      <c r="N274" s="259"/>
      <c r="O274" s="259"/>
      <c r="P274" s="238"/>
      <c r="Q274" s="251"/>
    </row>
    <row r="275" spans="1:17" s="197" customFormat="1" ht="27.75" customHeight="1">
      <c r="A275" s="239"/>
      <c r="B275" s="256"/>
      <c r="C275" s="256"/>
      <c r="D275" s="256"/>
      <c r="E275" s="256"/>
      <c r="F275" s="256"/>
      <c r="G275" s="256"/>
      <c r="H275" s="256"/>
      <c r="I275" s="237"/>
      <c r="J275" s="237"/>
      <c r="K275" s="240"/>
      <c r="L275" s="237"/>
      <c r="M275" s="241"/>
      <c r="N275" s="241"/>
      <c r="O275" s="241"/>
      <c r="P275" s="238"/>
      <c r="Q275" s="251"/>
    </row>
    <row r="276" spans="1:20" s="34" customFormat="1" ht="27.75" customHeight="1">
      <c r="A276" s="242" t="s">
        <v>601</v>
      </c>
      <c r="B276" s="243"/>
      <c r="C276" s="244"/>
      <c r="D276" s="243"/>
      <c r="E276" s="171"/>
      <c r="F276" s="171"/>
      <c r="G276" s="171"/>
      <c r="H276" s="171"/>
      <c r="I276" s="171"/>
      <c r="J276" s="171"/>
      <c r="K276" s="171"/>
      <c r="L276" s="171"/>
      <c r="M276" s="171"/>
      <c r="N276" s="171"/>
      <c r="O276" s="243"/>
      <c r="P276" s="245"/>
      <c r="Q276" s="251"/>
      <c r="R276" s="197"/>
      <c r="S276" s="197"/>
      <c r="T276" s="197"/>
    </row>
    <row r="277" spans="1:20" s="34" customFormat="1" ht="27.75" customHeight="1">
      <c r="A277" s="246"/>
      <c r="B277" s="247"/>
      <c r="C277" s="247"/>
      <c r="D277" s="241"/>
      <c r="E277" s="241"/>
      <c r="F277" s="241"/>
      <c r="G277" s="241"/>
      <c r="H277" s="241"/>
      <c r="I277" s="241"/>
      <c r="J277" s="241"/>
      <c r="K277" s="241"/>
      <c r="L277" s="241"/>
      <c r="M277" s="241"/>
      <c r="N277" s="241"/>
      <c r="O277" s="241"/>
      <c r="P277" s="170"/>
      <c r="Q277" s="251"/>
      <c r="R277" s="197"/>
      <c r="S277" s="197"/>
      <c r="T277" s="197"/>
    </row>
    <row r="278" spans="1:20" s="34" customFormat="1" ht="27.75" customHeight="1">
      <c r="A278" s="248"/>
      <c r="B278" s="252"/>
      <c r="C278" s="252"/>
      <c r="D278" s="252"/>
      <c r="E278" s="252"/>
      <c r="F278" s="252"/>
      <c r="G278" s="252"/>
      <c r="H278" s="252"/>
      <c r="I278" s="171"/>
      <c r="J278" s="171"/>
      <c r="K278" s="170"/>
      <c r="L278" s="171"/>
      <c r="M278" s="253"/>
      <c r="N278" s="253"/>
      <c r="O278" s="253"/>
      <c r="P278" s="253"/>
      <c r="Q278" s="251"/>
      <c r="R278" s="197"/>
      <c r="S278" s="197"/>
      <c r="T278" s="197"/>
    </row>
    <row r="279" spans="1:25" s="34" customFormat="1" ht="27.75" customHeight="1">
      <c r="A279" s="105"/>
      <c r="B279" s="102"/>
      <c r="C279" s="102"/>
      <c r="D279" s="103"/>
      <c r="E279" s="104"/>
      <c r="F279" s="104"/>
      <c r="G279" s="104"/>
      <c r="H279" s="104"/>
      <c r="I279" s="104"/>
      <c r="J279" s="104"/>
      <c r="K279" s="104"/>
      <c r="L279" s="104"/>
      <c r="M279" s="104"/>
      <c r="N279" s="104"/>
      <c r="O279" s="104"/>
      <c r="P279" s="104"/>
      <c r="Q279" s="251"/>
      <c r="R279" s="104">
        <f>R271-'дод. 4'!AG209</f>
        <v>0</v>
      </c>
      <c r="S279" s="104">
        <f>S271-'дод. 4'!AH209</f>
        <v>0</v>
      </c>
      <c r="T279" s="104">
        <f>T271-'дод. 4'!AI209</f>
        <v>0</v>
      </c>
      <c r="U279" s="104">
        <f>U271-'дод. 4'!AJ209</f>
        <v>0</v>
      </c>
      <c r="V279" s="104">
        <f>V271-'дод. 4'!AK209</f>
        <v>0</v>
      </c>
      <c r="W279" s="104">
        <f>W271-'дод. 4'!AL209</f>
        <v>0</v>
      </c>
      <c r="X279" s="104">
        <f>X271-'дод. 4'!AM209</f>
        <v>0</v>
      </c>
      <c r="Y279" s="104">
        <f>Y271-'дод. 4'!AN209</f>
        <v>0</v>
      </c>
    </row>
    <row r="280" spans="1:25" s="34" customFormat="1" ht="27.75" customHeight="1">
      <c r="A280" s="105"/>
      <c r="B280" s="102"/>
      <c r="C280" s="102"/>
      <c r="D280" s="103"/>
      <c r="E280" s="104"/>
      <c r="F280" s="104"/>
      <c r="G280" s="104"/>
      <c r="H280" s="104"/>
      <c r="I280" s="104"/>
      <c r="J280" s="104"/>
      <c r="K280" s="104"/>
      <c r="L280" s="104"/>
      <c r="M280" s="104"/>
      <c r="N280" s="104"/>
      <c r="O280" s="104"/>
      <c r="P280" s="104"/>
      <c r="Q280" s="251"/>
      <c r="R280" s="104">
        <f>R272-'дод. 4'!AG210</f>
        <v>0</v>
      </c>
      <c r="S280" s="104">
        <f>S272-'дод. 4'!AH210</f>
        <v>0</v>
      </c>
      <c r="T280" s="104">
        <f>T272-'дод. 4'!AI210</f>
        <v>0</v>
      </c>
      <c r="U280" s="104">
        <f>U272-'дод. 4'!AJ210</f>
        <v>0</v>
      </c>
      <c r="V280" s="104">
        <f>V272-'дод. 4'!AK210</f>
        <v>0</v>
      </c>
      <c r="W280" s="104">
        <f>W272-'дод. 4'!AL210</f>
        <v>0</v>
      </c>
      <c r="X280" s="104">
        <f>X272-'дод. 4'!AM210</f>
        <v>0</v>
      </c>
      <c r="Y280" s="104">
        <f>Y272-'дод. 4'!AN210</f>
        <v>0</v>
      </c>
    </row>
    <row r="281" spans="1:20" s="4" customFormat="1" ht="20.25" customHeight="1">
      <c r="A281" s="69"/>
      <c r="B281" s="70"/>
      <c r="C281" s="70"/>
      <c r="D281" s="71"/>
      <c r="E281" s="104"/>
      <c r="F281" s="104"/>
      <c r="G281" s="104"/>
      <c r="H281" s="104"/>
      <c r="I281" s="104"/>
      <c r="J281" s="104"/>
      <c r="K281" s="104"/>
      <c r="L281" s="104"/>
      <c r="M281" s="104"/>
      <c r="N281" s="104"/>
      <c r="O281" s="104"/>
      <c r="P281" s="104"/>
      <c r="Q281" s="251"/>
      <c r="R281" s="104"/>
      <c r="S281" s="104"/>
      <c r="T281" s="104"/>
    </row>
    <row r="282" spans="1:16" ht="22.5" customHeight="1">
      <c r="A282" s="72"/>
      <c r="B282" s="73"/>
      <c r="C282" s="73"/>
      <c r="D282" s="74"/>
      <c r="E282" s="75"/>
      <c r="F282" s="75"/>
      <c r="G282" s="75"/>
      <c r="H282" s="75"/>
      <c r="I282" s="75"/>
      <c r="J282" s="75"/>
      <c r="K282" s="75"/>
      <c r="L282" s="75"/>
      <c r="M282" s="75"/>
      <c r="N282" s="75"/>
      <c r="O282" s="75"/>
      <c r="P282" s="75"/>
    </row>
    <row r="283" spans="1:20" s="154" customFormat="1" ht="22.5" customHeight="1">
      <c r="A283" s="72"/>
      <c r="B283" s="73"/>
      <c r="C283" s="73"/>
      <c r="D283" s="84"/>
      <c r="E283" s="75"/>
      <c r="F283" s="75"/>
      <c r="G283" s="75"/>
      <c r="H283" s="75"/>
      <c r="I283" s="75"/>
      <c r="J283" s="75"/>
      <c r="K283" s="75"/>
      <c r="L283" s="75"/>
      <c r="M283" s="75"/>
      <c r="N283" s="75"/>
      <c r="O283" s="75"/>
      <c r="P283" s="85"/>
      <c r="Q283" s="230"/>
      <c r="R283" s="173"/>
      <c r="S283" s="173"/>
      <c r="T283" s="173"/>
    </row>
    <row r="284" spans="1:20" s="154" customFormat="1" ht="22.5" customHeight="1">
      <c r="A284" s="72"/>
      <c r="B284" s="73"/>
      <c r="C284" s="73"/>
      <c r="D284" s="84"/>
      <c r="E284" s="75"/>
      <c r="F284" s="75"/>
      <c r="G284" s="75"/>
      <c r="H284" s="75"/>
      <c r="I284" s="75"/>
      <c r="J284" s="75"/>
      <c r="K284" s="75"/>
      <c r="L284" s="75"/>
      <c r="M284" s="75"/>
      <c r="N284" s="75"/>
      <c r="O284" s="75"/>
      <c r="P284" s="85"/>
      <c r="Q284" s="230"/>
      <c r="R284" s="173"/>
      <c r="S284" s="156"/>
      <c r="T284" s="174"/>
    </row>
    <row r="285" spans="1:20" s="154" customFormat="1" ht="22.5" customHeight="1">
      <c r="A285" s="72"/>
      <c r="B285" s="73"/>
      <c r="C285" s="73"/>
      <c r="D285" s="84"/>
      <c r="E285" s="75"/>
      <c r="F285" s="75"/>
      <c r="G285" s="75"/>
      <c r="H285" s="75"/>
      <c r="I285" s="75"/>
      <c r="J285" s="75"/>
      <c r="K285" s="75"/>
      <c r="L285" s="75"/>
      <c r="M285" s="75"/>
      <c r="N285" s="75"/>
      <c r="O285" s="75"/>
      <c r="P285" s="85"/>
      <c r="Q285" s="230"/>
      <c r="R285" s="173"/>
      <c r="S285" s="156"/>
      <c r="T285" s="174"/>
    </row>
    <row r="286" spans="1:20" s="154" customFormat="1" ht="22.5" customHeight="1">
      <c r="A286" s="72"/>
      <c r="B286" s="73"/>
      <c r="C286" s="73"/>
      <c r="D286" s="84"/>
      <c r="E286" s="75"/>
      <c r="F286" s="75"/>
      <c r="G286" s="75"/>
      <c r="H286" s="75"/>
      <c r="I286" s="75"/>
      <c r="J286" s="75"/>
      <c r="K286" s="75"/>
      <c r="L286" s="75"/>
      <c r="M286" s="75"/>
      <c r="N286" s="75"/>
      <c r="O286" s="175"/>
      <c r="P286" s="85"/>
      <c r="Q286" s="230"/>
      <c r="R286" s="173"/>
      <c r="S286" s="156"/>
      <c r="T286" s="174"/>
    </row>
    <row r="287" spans="1:20" s="154" customFormat="1" ht="22.5" customHeight="1">
      <c r="A287" s="72"/>
      <c r="B287" s="73"/>
      <c r="C287" s="73"/>
      <c r="D287" s="84"/>
      <c r="E287" s="75"/>
      <c r="F287" s="75"/>
      <c r="G287" s="75"/>
      <c r="H287" s="75"/>
      <c r="I287" s="75"/>
      <c r="J287" s="75"/>
      <c r="K287" s="75"/>
      <c r="L287" s="75"/>
      <c r="M287" s="75"/>
      <c r="N287" s="75"/>
      <c r="O287" s="75"/>
      <c r="P287" s="85"/>
      <c r="Q287" s="230"/>
      <c r="R287" s="173"/>
      <c r="S287" s="156"/>
      <c r="T287" s="174"/>
    </row>
    <row r="288" spans="1:20" s="154" customFormat="1" ht="22.5" customHeight="1">
      <c r="A288" s="72"/>
      <c r="B288" s="73"/>
      <c r="C288" s="73"/>
      <c r="D288" s="84"/>
      <c r="E288" s="75"/>
      <c r="F288" s="75"/>
      <c r="G288" s="75"/>
      <c r="H288" s="75"/>
      <c r="I288" s="75"/>
      <c r="J288" s="75"/>
      <c r="K288" s="75"/>
      <c r="L288" s="75"/>
      <c r="M288" s="75"/>
      <c r="N288" s="73"/>
      <c r="O288" s="75"/>
      <c r="P288" s="85"/>
      <c r="Q288" s="230"/>
      <c r="R288" s="173"/>
      <c r="S288" s="156"/>
      <c r="T288" s="174"/>
    </row>
    <row r="289" spans="1:20" s="154" customFormat="1" ht="35.25" customHeight="1">
      <c r="A289" s="72"/>
      <c r="B289" s="73"/>
      <c r="C289" s="73"/>
      <c r="D289" s="84"/>
      <c r="E289" s="75"/>
      <c r="F289" s="75"/>
      <c r="G289" s="75"/>
      <c r="H289" s="75"/>
      <c r="I289" s="75"/>
      <c r="J289" s="75"/>
      <c r="K289" s="75"/>
      <c r="L289" s="75"/>
      <c r="M289" s="75"/>
      <c r="N289" s="75"/>
      <c r="O289" s="75"/>
      <c r="P289" s="85"/>
      <c r="Q289" s="230"/>
      <c r="R289" s="173"/>
      <c r="T289" s="174"/>
    </row>
    <row r="290" spans="1:20" s="154" customFormat="1" ht="22.5" customHeight="1">
      <c r="A290" s="72"/>
      <c r="B290" s="73"/>
      <c r="C290" s="73"/>
      <c r="D290" s="84"/>
      <c r="E290" s="75"/>
      <c r="F290" s="75"/>
      <c r="G290" s="75"/>
      <c r="H290" s="75"/>
      <c r="I290" s="75"/>
      <c r="J290" s="75"/>
      <c r="K290" s="75"/>
      <c r="L290" s="75"/>
      <c r="M290" s="75"/>
      <c r="N290" s="75"/>
      <c r="O290" s="75"/>
      <c r="P290" s="85"/>
      <c r="Q290" s="230"/>
      <c r="R290" s="173"/>
      <c r="S290" s="156"/>
      <c r="T290" s="174"/>
    </row>
    <row r="291" spans="1:20" s="154" customFormat="1" ht="22.5" customHeight="1">
      <c r="A291" s="72"/>
      <c r="B291" s="73"/>
      <c r="C291" s="73"/>
      <c r="D291" s="84"/>
      <c r="E291" s="75"/>
      <c r="F291" s="75"/>
      <c r="G291" s="75"/>
      <c r="H291" s="75"/>
      <c r="I291" s="75"/>
      <c r="J291" s="75"/>
      <c r="K291" s="75"/>
      <c r="L291" s="75"/>
      <c r="M291" s="75"/>
      <c r="N291" s="75"/>
      <c r="O291" s="75"/>
      <c r="P291" s="85"/>
      <c r="Q291" s="230"/>
      <c r="R291" s="173"/>
      <c r="S291" s="156"/>
      <c r="T291" s="174"/>
    </row>
    <row r="292" spans="1:20" s="154" customFormat="1" ht="22.5" customHeight="1">
      <c r="A292" s="72"/>
      <c r="B292" s="73"/>
      <c r="C292" s="73"/>
      <c r="D292" s="84"/>
      <c r="E292" s="75"/>
      <c r="F292" s="75"/>
      <c r="G292" s="75"/>
      <c r="H292" s="75"/>
      <c r="I292" s="75"/>
      <c r="J292" s="75"/>
      <c r="K292" s="75"/>
      <c r="L292" s="75"/>
      <c r="M292" s="75"/>
      <c r="N292" s="75"/>
      <c r="O292" s="75"/>
      <c r="P292" s="85"/>
      <c r="Q292" s="230"/>
      <c r="R292" s="173"/>
      <c r="S292" s="156"/>
      <c r="T292" s="174"/>
    </row>
    <row r="293" spans="1:20" s="154" customFormat="1" ht="22.5" customHeight="1">
      <c r="A293" s="72"/>
      <c r="B293" s="73"/>
      <c r="C293" s="73"/>
      <c r="D293" s="84"/>
      <c r="E293" s="75"/>
      <c r="F293" s="75"/>
      <c r="G293" s="75"/>
      <c r="H293" s="75"/>
      <c r="I293" s="75"/>
      <c r="J293" s="75"/>
      <c r="K293" s="75"/>
      <c r="L293" s="75"/>
      <c r="M293" s="75"/>
      <c r="N293" s="75"/>
      <c r="O293" s="75"/>
      <c r="P293" s="85"/>
      <c r="Q293" s="230"/>
      <c r="R293" s="173"/>
      <c r="S293" s="173"/>
      <c r="T293" s="173"/>
    </row>
    <row r="294" spans="1:20" s="30" customFormat="1" ht="24.75" customHeight="1">
      <c r="A294" s="109"/>
      <c r="B294" s="260"/>
      <c r="C294" s="260"/>
      <c r="D294" s="260"/>
      <c r="E294" s="75"/>
      <c r="F294" s="73"/>
      <c r="G294" s="73"/>
      <c r="H294" s="73"/>
      <c r="I294" s="73"/>
      <c r="J294" s="73"/>
      <c r="K294" s="73"/>
      <c r="L294" s="73"/>
      <c r="M294" s="73"/>
      <c r="N294" s="73"/>
      <c r="O294" s="75"/>
      <c r="P294" s="86"/>
      <c r="Q294" s="230"/>
      <c r="R294" s="173"/>
      <c r="S294" s="173"/>
      <c r="T294" s="173"/>
    </row>
    <row r="295" spans="1:20" s="30" customFormat="1" ht="24.75" customHeight="1">
      <c r="A295" s="109"/>
      <c r="B295" s="83"/>
      <c r="C295" s="83"/>
      <c r="D295" s="83"/>
      <c r="E295" s="75"/>
      <c r="F295" s="73"/>
      <c r="G295" s="73"/>
      <c r="H295" s="73"/>
      <c r="I295" s="73"/>
      <c r="J295" s="73"/>
      <c r="K295" s="73"/>
      <c r="L295" s="73"/>
      <c r="M295" s="73"/>
      <c r="N295" s="73"/>
      <c r="O295" s="75"/>
      <c r="P295" s="86"/>
      <c r="Q295" s="230"/>
      <c r="R295" s="173"/>
      <c r="S295" s="173"/>
      <c r="T295" s="173"/>
    </row>
    <row r="296" spans="1:20" s="30" customFormat="1" ht="24.75" customHeight="1">
      <c r="A296" s="109"/>
      <c r="B296" s="83"/>
      <c r="C296" s="83"/>
      <c r="D296" s="83"/>
      <c r="E296" s="75"/>
      <c r="F296" s="73"/>
      <c r="G296" s="73"/>
      <c r="H296" s="73"/>
      <c r="I296" s="73"/>
      <c r="J296" s="73"/>
      <c r="K296" s="73"/>
      <c r="L296" s="73"/>
      <c r="M296" s="73"/>
      <c r="N296" s="73"/>
      <c r="O296" s="75"/>
      <c r="P296" s="86"/>
      <c r="Q296" s="230"/>
      <c r="R296" s="173"/>
      <c r="S296" s="173"/>
      <c r="T296" s="173"/>
    </row>
    <row r="297" spans="1:20" s="30" customFormat="1" ht="24.75" customHeight="1">
      <c r="A297" s="109"/>
      <c r="B297" s="83"/>
      <c r="C297" s="83"/>
      <c r="D297" s="83"/>
      <c r="E297" s="75"/>
      <c r="F297" s="73"/>
      <c r="G297" s="73"/>
      <c r="H297" s="73"/>
      <c r="I297" s="73"/>
      <c r="J297" s="73"/>
      <c r="K297" s="73"/>
      <c r="L297" s="73"/>
      <c r="M297" s="73"/>
      <c r="N297" s="73"/>
      <c r="O297" s="75"/>
      <c r="P297" s="86"/>
      <c r="Q297" s="230"/>
      <c r="R297" s="173"/>
      <c r="S297" s="173"/>
      <c r="T297" s="173"/>
    </row>
    <row r="298" spans="1:20" s="30" customFormat="1" ht="15">
      <c r="A298" s="78"/>
      <c r="B298" s="80"/>
      <c r="C298" s="73"/>
      <c r="D298" s="115"/>
      <c r="E298" s="75"/>
      <c r="F298" s="73"/>
      <c r="G298" s="73"/>
      <c r="H298" s="73"/>
      <c r="I298" s="73"/>
      <c r="J298" s="73"/>
      <c r="K298" s="73"/>
      <c r="L298" s="73"/>
      <c r="M298" s="73"/>
      <c r="N298" s="73"/>
      <c r="O298" s="73"/>
      <c r="P298" s="86"/>
      <c r="Q298" s="230"/>
      <c r="R298" s="173"/>
      <c r="S298" s="173"/>
      <c r="T298" s="173"/>
    </row>
    <row r="299" spans="1:20" s="30" customFormat="1" ht="15">
      <c r="A299" s="110"/>
      <c r="B299" s="73"/>
      <c r="C299" s="73"/>
      <c r="D299" s="74"/>
      <c r="E299" s="75"/>
      <c r="F299" s="73"/>
      <c r="G299" s="73"/>
      <c r="H299" s="73"/>
      <c r="I299" s="73"/>
      <c r="J299" s="73"/>
      <c r="K299" s="73"/>
      <c r="L299" s="73"/>
      <c r="M299" s="73"/>
      <c r="N299" s="73"/>
      <c r="O299" s="73"/>
      <c r="P299" s="73"/>
      <c r="Q299" s="230"/>
      <c r="R299" s="173"/>
      <c r="S299" s="173"/>
      <c r="T299" s="173"/>
    </row>
    <row r="300" spans="1:20" s="30" customFormat="1" ht="15">
      <c r="A300" s="72"/>
      <c r="B300" s="79"/>
      <c r="C300" s="80"/>
      <c r="D300" s="116"/>
      <c r="E300" s="75"/>
      <c r="F300" s="73"/>
      <c r="G300" s="73"/>
      <c r="H300" s="73"/>
      <c r="I300" s="73"/>
      <c r="J300" s="73"/>
      <c r="K300" s="73"/>
      <c r="L300" s="73"/>
      <c r="M300" s="73"/>
      <c r="N300" s="73"/>
      <c r="O300" s="73"/>
      <c r="P300" s="73"/>
      <c r="Q300" s="230"/>
      <c r="R300" s="173"/>
      <c r="S300" s="173"/>
      <c r="T300" s="173"/>
    </row>
    <row r="301" spans="1:20" s="30" customFormat="1" ht="15">
      <c r="A301" s="79"/>
      <c r="B301" s="80"/>
      <c r="C301" s="80"/>
      <c r="D301" s="117"/>
      <c r="E301" s="73"/>
      <c r="F301" s="73"/>
      <c r="G301" s="75"/>
      <c r="H301" s="75"/>
      <c r="I301" s="75"/>
      <c r="J301" s="73"/>
      <c r="K301" s="73"/>
      <c r="L301" s="73"/>
      <c r="M301" s="73"/>
      <c r="N301" s="73"/>
      <c r="O301" s="73"/>
      <c r="P301" s="73"/>
      <c r="Q301" s="230"/>
      <c r="R301" s="173"/>
      <c r="S301" s="173"/>
      <c r="T301" s="173"/>
    </row>
    <row r="302" spans="1:20" s="30" customFormat="1" ht="15">
      <c r="A302" s="109"/>
      <c r="B302" s="111"/>
      <c r="C302" s="111"/>
      <c r="D302" s="116"/>
      <c r="E302" s="73"/>
      <c r="F302" s="73"/>
      <c r="G302" s="73"/>
      <c r="H302" s="73"/>
      <c r="I302" s="73"/>
      <c r="J302" s="73"/>
      <c r="K302" s="73"/>
      <c r="L302" s="73"/>
      <c r="M302" s="73"/>
      <c r="N302" s="73"/>
      <c r="O302" s="73"/>
      <c r="P302" s="73"/>
      <c r="Q302" s="230"/>
      <c r="R302" s="173"/>
      <c r="S302" s="173"/>
      <c r="T302" s="173"/>
    </row>
    <row r="303" spans="1:20" s="30" customFormat="1" ht="15">
      <c r="A303" s="109"/>
      <c r="B303" s="111"/>
      <c r="C303" s="111"/>
      <c r="D303" s="116"/>
      <c r="E303" s="73"/>
      <c r="F303" s="73"/>
      <c r="G303" s="73"/>
      <c r="H303" s="73"/>
      <c r="I303" s="73"/>
      <c r="J303" s="73"/>
      <c r="K303" s="73"/>
      <c r="L303" s="73"/>
      <c r="M303" s="73"/>
      <c r="N303" s="73"/>
      <c r="O303" s="73"/>
      <c r="P303" s="73"/>
      <c r="Q303" s="230"/>
      <c r="R303" s="173"/>
      <c r="S303" s="173"/>
      <c r="T303" s="173"/>
    </row>
    <row r="304" spans="1:20" s="30" customFormat="1" ht="15">
      <c r="A304" s="109"/>
      <c r="B304" s="111"/>
      <c r="C304" s="111"/>
      <c r="D304" s="116"/>
      <c r="E304" s="73"/>
      <c r="F304" s="73"/>
      <c r="G304" s="73"/>
      <c r="H304" s="73"/>
      <c r="I304" s="73"/>
      <c r="J304" s="73"/>
      <c r="K304" s="73"/>
      <c r="L304" s="73"/>
      <c r="M304" s="73"/>
      <c r="N304" s="73"/>
      <c r="O304" s="73"/>
      <c r="P304" s="73"/>
      <c r="Q304" s="230"/>
      <c r="R304" s="173"/>
      <c r="S304" s="173"/>
      <c r="T304" s="173"/>
    </row>
    <row r="305" spans="1:20" s="30" customFormat="1" ht="15">
      <c r="A305" s="109"/>
      <c r="B305" s="111"/>
      <c r="C305" s="111"/>
      <c r="D305" s="116"/>
      <c r="E305" s="73"/>
      <c r="F305" s="73"/>
      <c r="G305" s="73"/>
      <c r="H305" s="73"/>
      <c r="I305" s="73"/>
      <c r="J305" s="73"/>
      <c r="K305" s="73"/>
      <c r="L305" s="73"/>
      <c r="M305" s="73"/>
      <c r="N305" s="73"/>
      <c r="O305" s="73"/>
      <c r="P305" s="73"/>
      <c r="Q305" s="230"/>
      <c r="R305" s="173"/>
      <c r="S305" s="173"/>
      <c r="T305" s="173"/>
    </row>
    <row r="306" spans="1:20" s="30" customFormat="1" ht="15">
      <c r="A306" s="109"/>
      <c r="B306" s="111"/>
      <c r="C306" s="111"/>
      <c r="D306" s="116"/>
      <c r="E306" s="73"/>
      <c r="F306" s="73"/>
      <c r="G306" s="73"/>
      <c r="H306" s="73"/>
      <c r="I306" s="73"/>
      <c r="J306" s="73"/>
      <c r="K306" s="73"/>
      <c r="L306" s="73"/>
      <c r="M306" s="73"/>
      <c r="N306" s="73"/>
      <c r="O306" s="73"/>
      <c r="P306" s="73"/>
      <c r="Q306" s="230"/>
      <c r="R306" s="173"/>
      <c r="S306" s="173"/>
      <c r="T306" s="173"/>
    </row>
    <row r="307" spans="1:20" s="30" customFormat="1" ht="15">
      <c r="A307" s="109"/>
      <c r="B307" s="111"/>
      <c r="C307" s="111"/>
      <c r="D307" s="116"/>
      <c r="E307" s="73"/>
      <c r="F307" s="73"/>
      <c r="G307" s="73"/>
      <c r="H307" s="73"/>
      <c r="I307" s="73"/>
      <c r="J307" s="73"/>
      <c r="K307" s="73"/>
      <c r="L307" s="73"/>
      <c r="M307" s="73"/>
      <c r="N307" s="73"/>
      <c r="O307" s="73"/>
      <c r="P307" s="73"/>
      <c r="Q307" s="230"/>
      <c r="R307" s="173"/>
      <c r="S307" s="173"/>
      <c r="T307" s="173"/>
    </row>
    <row r="308" spans="1:20" s="30" customFormat="1" ht="26.25" customHeight="1">
      <c r="A308" s="109"/>
      <c r="B308" s="111"/>
      <c r="C308" s="111"/>
      <c r="D308" s="116"/>
      <c r="E308" s="73"/>
      <c r="F308" s="73"/>
      <c r="G308" s="73"/>
      <c r="H308" s="73"/>
      <c r="I308" s="73"/>
      <c r="J308" s="73"/>
      <c r="K308" s="73"/>
      <c r="L308" s="73"/>
      <c r="M308" s="73"/>
      <c r="N308" s="73"/>
      <c r="O308" s="73"/>
      <c r="P308" s="73"/>
      <c r="Q308" s="230"/>
      <c r="R308" s="173"/>
      <c r="S308" s="173"/>
      <c r="T308" s="173"/>
    </row>
    <row r="309" spans="1:20" s="30" customFormat="1" ht="26.25" customHeight="1">
      <c r="A309" s="76"/>
      <c r="B309" s="77"/>
      <c r="C309" s="77"/>
      <c r="D309" s="118"/>
      <c r="E309" s="73"/>
      <c r="F309" s="73"/>
      <c r="G309" s="73"/>
      <c r="H309" s="73"/>
      <c r="I309" s="73"/>
      <c r="J309" s="73"/>
      <c r="K309" s="73"/>
      <c r="L309" s="73"/>
      <c r="M309" s="73"/>
      <c r="N309" s="73"/>
      <c r="O309" s="73"/>
      <c r="P309" s="73"/>
      <c r="Q309" s="230"/>
      <c r="R309" s="173"/>
      <c r="S309" s="173"/>
      <c r="T309" s="173"/>
    </row>
    <row r="310" spans="1:20" s="30" customFormat="1" ht="26.25" customHeight="1">
      <c r="A310" s="76"/>
      <c r="B310" s="77"/>
      <c r="C310" s="77"/>
      <c r="D310" s="118"/>
      <c r="E310" s="73"/>
      <c r="F310" s="73"/>
      <c r="G310" s="73"/>
      <c r="H310" s="73"/>
      <c r="I310" s="73"/>
      <c r="J310" s="73"/>
      <c r="K310" s="73"/>
      <c r="L310" s="73"/>
      <c r="M310" s="73"/>
      <c r="N310" s="73"/>
      <c r="O310" s="73"/>
      <c r="P310" s="73"/>
      <c r="Q310" s="230"/>
      <c r="R310" s="173"/>
      <c r="S310" s="173"/>
      <c r="T310" s="173"/>
    </row>
    <row r="311" spans="1:20" s="30" customFormat="1" ht="26.25" customHeight="1">
      <c r="A311" s="76"/>
      <c r="B311" s="77"/>
      <c r="C311" s="77"/>
      <c r="D311" s="118"/>
      <c r="E311" s="73"/>
      <c r="F311" s="73"/>
      <c r="G311" s="73"/>
      <c r="H311" s="73"/>
      <c r="I311" s="73"/>
      <c r="J311" s="73"/>
      <c r="K311" s="73"/>
      <c r="L311" s="73"/>
      <c r="M311" s="73"/>
      <c r="N311" s="73"/>
      <c r="O311" s="73"/>
      <c r="P311" s="73"/>
      <c r="Q311" s="230"/>
      <c r="R311" s="173"/>
      <c r="S311" s="173"/>
      <c r="T311" s="173"/>
    </row>
    <row r="312" spans="1:20" s="30" customFormat="1" ht="26.25" customHeight="1">
      <c r="A312" s="76"/>
      <c r="B312" s="77"/>
      <c r="C312" s="77"/>
      <c r="D312" s="118"/>
      <c r="E312" s="73"/>
      <c r="F312" s="73"/>
      <c r="G312" s="73"/>
      <c r="H312" s="73"/>
      <c r="I312" s="73"/>
      <c r="J312" s="73"/>
      <c r="K312" s="73"/>
      <c r="L312" s="73"/>
      <c r="M312" s="73"/>
      <c r="N312" s="73"/>
      <c r="O312" s="73"/>
      <c r="P312" s="73"/>
      <c r="Q312" s="230"/>
      <c r="R312" s="173"/>
      <c r="S312" s="173"/>
      <c r="T312" s="173"/>
    </row>
    <row r="313" spans="1:20" s="30" customFormat="1" ht="15">
      <c r="A313" s="76"/>
      <c r="B313" s="77"/>
      <c r="C313" s="77"/>
      <c r="D313" s="118"/>
      <c r="E313" s="73"/>
      <c r="F313" s="73"/>
      <c r="G313" s="73"/>
      <c r="H313" s="73"/>
      <c r="I313" s="73"/>
      <c r="J313" s="73"/>
      <c r="K313" s="73"/>
      <c r="L313" s="73"/>
      <c r="M313" s="73"/>
      <c r="N313" s="73"/>
      <c r="O313" s="73"/>
      <c r="P313" s="73"/>
      <c r="Q313" s="230"/>
      <c r="R313" s="173"/>
      <c r="S313" s="173"/>
      <c r="T313" s="173"/>
    </row>
    <row r="314" spans="1:20" s="30" customFormat="1" ht="15">
      <c r="A314" s="76"/>
      <c r="B314" s="77"/>
      <c r="C314" s="77"/>
      <c r="D314" s="118"/>
      <c r="E314" s="73"/>
      <c r="F314" s="73"/>
      <c r="G314" s="73"/>
      <c r="H314" s="73"/>
      <c r="I314" s="73"/>
      <c r="J314" s="73"/>
      <c r="K314" s="73"/>
      <c r="L314" s="73"/>
      <c r="M314" s="73"/>
      <c r="N314" s="73"/>
      <c r="O314" s="73"/>
      <c r="P314" s="73"/>
      <c r="Q314" s="230"/>
      <c r="R314" s="173"/>
      <c r="S314" s="173"/>
      <c r="T314" s="173"/>
    </row>
    <row r="315" spans="1:20" s="30" customFormat="1" ht="15">
      <c r="A315" s="76"/>
      <c r="B315" s="77"/>
      <c r="C315" s="77"/>
      <c r="D315" s="118"/>
      <c r="E315" s="73"/>
      <c r="F315" s="73"/>
      <c r="G315" s="73"/>
      <c r="H315" s="73"/>
      <c r="I315" s="73"/>
      <c r="J315" s="73"/>
      <c r="K315" s="73"/>
      <c r="L315" s="73"/>
      <c r="M315" s="73"/>
      <c r="N315" s="73"/>
      <c r="O315" s="73"/>
      <c r="P315" s="73"/>
      <c r="Q315" s="230"/>
      <c r="R315" s="173"/>
      <c r="S315" s="173"/>
      <c r="T315" s="173"/>
    </row>
    <row r="316" spans="1:20" s="30" customFormat="1" ht="15">
      <c r="A316" s="76"/>
      <c r="B316" s="77"/>
      <c r="C316" s="77"/>
      <c r="D316" s="118"/>
      <c r="E316" s="73"/>
      <c r="F316" s="73"/>
      <c r="G316" s="73"/>
      <c r="H316" s="73"/>
      <c r="I316" s="73"/>
      <c r="J316" s="73"/>
      <c r="K316" s="73"/>
      <c r="L316" s="73"/>
      <c r="M316" s="73"/>
      <c r="N316" s="73"/>
      <c r="O316" s="73"/>
      <c r="P316" s="73"/>
      <c r="Q316" s="230"/>
      <c r="R316" s="173"/>
      <c r="S316" s="173"/>
      <c r="T316" s="173"/>
    </row>
    <row r="317" spans="1:20" s="30" customFormat="1" ht="15">
      <c r="A317" s="76"/>
      <c r="B317" s="77"/>
      <c r="C317" s="77"/>
      <c r="D317" s="118"/>
      <c r="E317" s="73"/>
      <c r="F317" s="73"/>
      <c r="G317" s="73"/>
      <c r="H317" s="73"/>
      <c r="I317" s="73"/>
      <c r="J317" s="73"/>
      <c r="K317" s="73"/>
      <c r="L317" s="73"/>
      <c r="M317" s="73"/>
      <c r="N317" s="73"/>
      <c r="O317" s="73"/>
      <c r="P317" s="73"/>
      <c r="Q317" s="230"/>
      <c r="R317" s="173"/>
      <c r="S317" s="173"/>
      <c r="T317" s="173"/>
    </row>
    <row r="318" spans="1:20" s="30" customFormat="1" ht="15">
      <c r="A318" s="76"/>
      <c r="B318" s="77"/>
      <c r="C318" s="77"/>
      <c r="D318" s="118"/>
      <c r="E318" s="73"/>
      <c r="F318" s="73"/>
      <c r="G318" s="73"/>
      <c r="H318" s="73"/>
      <c r="I318" s="73"/>
      <c r="J318" s="73"/>
      <c r="K318" s="73"/>
      <c r="L318" s="73"/>
      <c r="M318" s="73"/>
      <c r="N318" s="73"/>
      <c r="O318" s="73"/>
      <c r="P318" s="73"/>
      <c r="Q318" s="230"/>
      <c r="R318" s="173"/>
      <c r="S318" s="173"/>
      <c r="T318" s="173"/>
    </row>
    <row r="319" spans="1:20" s="30" customFormat="1" ht="15">
      <c r="A319" s="76"/>
      <c r="B319" s="77"/>
      <c r="C319" s="77"/>
      <c r="D319" s="118"/>
      <c r="E319" s="73"/>
      <c r="F319" s="73"/>
      <c r="G319" s="73"/>
      <c r="H319" s="73"/>
      <c r="I319" s="73"/>
      <c r="J319" s="73"/>
      <c r="K319" s="73"/>
      <c r="L319" s="73"/>
      <c r="M319" s="73"/>
      <c r="N319" s="73"/>
      <c r="O319" s="73"/>
      <c r="P319" s="73"/>
      <c r="Q319" s="230"/>
      <c r="R319" s="173"/>
      <c r="S319" s="173"/>
      <c r="T319" s="173"/>
    </row>
    <row r="320" spans="1:20" s="30" customFormat="1" ht="15">
      <c r="A320" s="76"/>
      <c r="B320" s="77"/>
      <c r="C320" s="77"/>
      <c r="D320" s="118"/>
      <c r="E320" s="73"/>
      <c r="F320" s="73"/>
      <c r="G320" s="73"/>
      <c r="H320" s="73"/>
      <c r="I320" s="73"/>
      <c r="J320" s="73"/>
      <c r="K320" s="73"/>
      <c r="L320" s="73"/>
      <c r="M320" s="73"/>
      <c r="N320" s="73"/>
      <c r="O320" s="73"/>
      <c r="P320" s="73"/>
      <c r="Q320" s="230"/>
      <c r="R320" s="173"/>
      <c r="S320" s="173"/>
      <c r="T320" s="173"/>
    </row>
    <row r="321" spans="1:20" s="30" customFormat="1" ht="15">
      <c r="A321" s="76"/>
      <c r="B321" s="77"/>
      <c r="C321" s="77"/>
      <c r="D321" s="118"/>
      <c r="E321" s="73"/>
      <c r="F321" s="73"/>
      <c r="G321" s="73"/>
      <c r="H321" s="73"/>
      <c r="I321" s="73"/>
      <c r="J321" s="73"/>
      <c r="K321" s="73"/>
      <c r="L321" s="73"/>
      <c r="M321" s="73"/>
      <c r="N321" s="73"/>
      <c r="O321" s="73"/>
      <c r="P321" s="73"/>
      <c r="Q321" s="230"/>
      <c r="R321" s="173"/>
      <c r="S321" s="173"/>
      <c r="T321" s="173"/>
    </row>
    <row r="322" spans="1:20" s="30" customFormat="1" ht="15">
      <c r="A322" s="76"/>
      <c r="B322" s="77"/>
      <c r="C322" s="77"/>
      <c r="D322" s="118"/>
      <c r="E322" s="73"/>
      <c r="F322" s="73"/>
      <c r="G322" s="73"/>
      <c r="H322" s="73"/>
      <c r="I322" s="73"/>
      <c r="J322" s="73"/>
      <c r="K322" s="73"/>
      <c r="L322" s="73"/>
      <c r="M322" s="73"/>
      <c r="N322" s="73"/>
      <c r="O322" s="73"/>
      <c r="P322" s="73"/>
      <c r="Q322" s="230"/>
      <c r="R322" s="173"/>
      <c r="S322" s="173"/>
      <c r="T322" s="173"/>
    </row>
    <row r="323" spans="1:20" s="30" customFormat="1" ht="15">
      <c r="A323" s="76"/>
      <c r="B323" s="77"/>
      <c r="C323" s="77"/>
      <c r="D323" s="118"/>
      <c r="E323" s="73"/>
      <c r="F323" s="73"/>
      <c r="G323" s="73"/>
      <c r="H323" s="73"/>
      <c r="I323" s="73"/>
      <c r="J323" s="73"/>
      <c r="K323" s="73"/>
      <c r="L323" s="73"/>
      <c r="M323" s="73"/>
      <c r="N323" s="73"/>
      <c r="O323" s="73"/>
      <c r="P323" s="73"/>
      <c r="Q323" s="230"/>
      <c r="R323" s="173"/>
      <c r="S323" s="173"/>
      <c r="T323" s="173"/>
    </row>
    <row r="324" spans="1:20" s="30" customFormat="1" ht="15">
      <c r="A324" s="76"/>
      <c r="B324" s="77"/>
      <c r="C324" s="77"/>
      <c r="D324" s="118"/>
      <c r="E324" s="73"/>
      <c r="F324" s="73"/>
      <c r="G324" s="73"/>
      <c r="H324" s="73"/>
      <c r="I324" s="73"/>
      <c r="J324" s="73"/>
      <c r="K324" s="73"/>
      <c r="L324" s="73"/>
      <c r="M324" s="73"/>
      <c r="N324" s="73"/>
      <c r="O324" s="73"/>
      <c r="P324" s="73"/>
      <c r="Q324" s="230"/>
      <c r="R324" s="173"/>
      <c r="S324" s="173"/>
      <c r="T324" s="173"/>
    </row>
    <row r="325" spans="1:20" s="30" customFormat="1" ht="15">
      <c r="A325" s="76"/>
      <c r="B325" s="77"/>
      <c r="C325" s="77"/>
      <c r="D325" s="118"/>
      <c r="E325" s="73"/>
      <c r="F325" s="73"/>
      <c r="G325" s="73"/>
      <c r="H325" s="73"/>
      <c r="I325" s="73"/>
      <c r="J325" s="73"/>
      <c r="K325" s="73"/>
      <c r="L325" s="73"/>
      <c r="M325" s="73"/>
      <c r="N325" s="73"/>
      <c r="O325" s="73"/>
      <c r="P325" s="73"/>
      <c r="Q325" s="230"/>
      <c r="R325" s="173"/>
      <c r="S325" s="173"/>
      <c r="T325" s="173"/>
    </row>
    <row r="326" spans="1:20" s="30" customFormat="1" ht="15">
      <c r="A326" s="76"/>
      <c r="B326" s="77"/>
      <c r="C326" s="77"/>
      <c r="D326" s="118"/>
      <c r="E326" s="73"/>
      <c r="F326" s="73"/>
      <c r="G326" s="73"/>
      <c r="H326" s="73"/>
      <c r="I326" s="73"/>
      <c r="J326" s="73"/>
      <c r="K326" s="73"/>
      <c r="L326" s="73"/>
      <c r="M326" s="73"/>
      <c r="N326" s="73"/>
      <c r="O326" s="73"/>
      <c r="P326" s="73"/>
      <c r="Q326" s="230"/>
      <c r="R326" s="173"/>
      <c r="S326" s="173"/>
      <c r="T326" s="173"/>
    </row>
    <row r="327" spans="1:20" s="30" customFormat="1" ht="15">
      <c r="A327" s="76"/>
      <c r="B327" s="77"/>
      <c r="C327" s="77"/>
      <c r="D327" s="118"/>
      <c r="E327" s="73"/>
      <c r="F327" s="73"/>
      <c r="G327" s="73"/>
      <c r="H327" s="73"/>
      <c r="I327" s="73"/>
      <c r="J327" s="73"/>
      <c r="K327" s="73"/>
      <c r="L327" s="73"/>
      <c r="M327" s="73"/>
      <c r="N327" s="73"/>
      <c r="O327" s="73"/>
      <c r="P327" s="73"/>
      <c r="Q327" s="230"/>
      <c r="R327" s="173"/>
      <c r="S327" s="173"/>
      <c r="T327" s="173"/>
    </row>
    <row r="328" spans="1:20" s="30" customFormat="1" ht="15">
      <c r="A328" s="76"/>
      <c r="B328" s="77"/>
      <c r="C328" s="77"/>
      <c r="D328" s="118"/>
      <c r="E328" s="73"/>
      <c r="F328" s="73"/>
      <c r="G328" s="73"/>
      <c r="H328" s="73"/>
      <c r="I328" s="73"/>
      <c r="J328" s="73"/>
      <c r="K328" s="73"/>
      <c r="L328" s="73"/>
      <c r="M328" s="73"/>
      <c r="N328" s="73"/>
      <c r="O328" s="73"/>
      <c r="P328" s="73"/>
      <c r="Q328" s="230"/>
      <c r="R328" s="173"/>
      <c r="S328" s="173"/>
      <c r="T328" s="173"/>
    </row>
    <row r="329" spans="1:20" s="30" customFormat="1" ht="15">
      <c r="A329" s="76"/>
      <c r="B329" s="77"/>
      <c r="C329" s="77"/>
      <c r="D329" s="118"/>
      <c r="E329" s="73"/>
      <c r="F329" s="73"/>
      <c r="G329" s="73"/>
      <c r="H329" s="73"/>
      <c r="I329" s="73"/>
      <c r="J329" s="73"/>
      <c r="K329" s="73"/>
      <c r="L329" s="73"/>
      <c r="M329" s="73"/>
      <c r="N329" s="73"/>
      <c r="O329" s="73"/>
      <c r="P329" s="161"/>
      <c r="Q329" s="230"/>
      <c r="R329" s="173"/>
      <c r="S329" s="173"/>
      <c r="T329" s="173"/>
    </row>
    <row r="330" spans="1:20" s="30" customFormat="1" ht="15">
      <c r="A330" s="76"/>
      <c r="B330" s="77"/>
      <c r="C330" s="77"/>
      <c r="D330" s="118"/>
      <c r="E330" s="73"/>
      <c r="F330" s="73"/>
      <c r="G330" s="73"/>
      <c r="H330" s="73"/>
      <c r="I330" s="73"/>
      <c r="J330" s="73"/>
      <c r="K330" s="73"/>
      <c r="L330" s="73"/>
      <c r="M330" s="73"/>
      <c r="N330" s="73"/>
      <c r="O330" s="73"/>
      <c r="P330" s="157"/>
      <c r="Q330" s="230"/>
      <c r="R330" s="173"/>
      <c r="S330" s="173"/>
      <c r="T330" s="173"/>
    </row>
    <row r="331" spans="1:20" s="30" customFormat="1" ht="15">
      <c r="A331" s="76"/>
      <c r="B331" s="77"/>
      <c r="C331" s="77"/>
      <c r="D331" s="118"/>
      <c r="E331" s="73"/>
      <c r="F331" s="73"/>
      <c r="G331" s="73"/>
      <c r="H331" s="73"/>
      <c r="I331" s="73"/>
      <c r="J331" s="73"/>
      <c r="K331" s="73"/>
      <c r="L331" s="73"/>
      <c r="M331" s="73"/>
      <c r="N331" s="73"/>
      <c r="O331" s="73"/>
      <c r="P331" s="157"/>
      <c r="Q331" s="230"/>
      <c r="R331" s="173"/>
      <c r="S331" s="173"/>
      <c r="T331" s="173"/>
    </row>
    <row r="332" spans="1:20" s="30" customFormat="1" ht="15">
      <c r="A332" s="76"/>
      <c r="B332" s="77"/>
      <c r="C332" s="77"/>
      <c r="D332" s="118"/>
      <c r="E332" s="73"/>
      <c r="F332" s="73"/>
      <c r="G332" s="73"/>
      <c r="H332" s="73"/>
      <c r="I332" s="73"/>
      <c r="J332" s="73"/>
      <c r="K332" s="73"/>
      <c r="L332" s="73"/>
      <c r="M332" s="73"/>
      <c r="N332" s="73"/>
      <c r="O332" s="73"/>
      <c r="P332" s="157"/>
      <c r="Q332" s="230"/>
      <c r="R332" s="173"/>
      <c r="S332" s="173"/>
      <c r="T332" s="173"/>
    </row>
    <row r="333" spans="1:20" s="30" customFormat="1" ht="15">
      <c r="A333" s="76"/>
      <c r="B333" s="77"/>
      <c r="C333" s="77"/>
      <c r="D333" s="118"/>
      <c r="E333" s="73"/>
      <c r="F333" s="73"/>
      <c r="G333" s="73"/>
      <c r="H333" s="73"/>
      <c r="I333" s="73"/>
      <c r="J333" s="73"/>
      <c r="K333" s="73"/>
      <c r="L333" s="73"/>
      <c r="M333" s="73"/>
      <c r="N333" s="73"/>
      <c r="O333" s="73"/>
      <c r="P333" s="157"/>
      <c r="Q333" s="230"/>
      <c r="R333" s="173"/>
      <c r="S333" s="173"/>
      <c r="T333" s="173"/>
    </row>
    <row r="334" spans="1:20" s="30" customFormat="1" ht="15">
      <c r="A334" s="76"/>
      <c r="B334" s="77"/>
      <c r="C334" s="77"/>
      <c r="D334" s="118"/>
      <c r="E334" s="73"/>
      <c r="F334" s="73"/>
      <c r="G334" s="73"/>
      <c r="H334" s="73"/>
      <c r="I334" s="73"/>
      <c r="J334" s="73"/>
      <c r="K334" s="73"/>
      <c r="L334" s="73"/>
      <c r="M334" s="73"/>
      <c r="N334" s="73"/>
      <c r="O334" s="73"/>
      <c r="P334" s="157"/>
      <c r="Q334" s="230"/>
      <c r="R334" s="173"/>
      <c r="S334" s="173"/>
      <c r="T334" s="173"/>
    </row>
    <row r="335" spans="1:20" s="30" customFormat="1" ht="15">
      <c r="A335" s="76"/>
      <c r="B335" s="77"/>
      <c r="C335" s="77"/>
      <c r="D335" s="118"/>
      <c r="E335" s="73"/>
      <c r="F335" s="73"/>
      <c r="G335" s="73"/>
      <c r="H335" s="73"/>
      <c r="I335" s="73"/>
      <c r="J335" s="73"/>
      <c r="K335" s="73"/>
      <c r="L335" s="73"/>
      <c r="M335" s="73"/>
      <c r="N335" s="73"/>
      <c r="O335" s="73"/>
      <c r="P335" s="157"/>
      <c r="Q335" s="230"/>
      <c r="R335" s="173"/>
      <c r="S335" s="173"/>
      <c r="T335" s="173"/>
    </row>
    <row r="336" ht="15">
      <c r="B336" s="77"/>
    </row>
    <row r="337" ht="15">
      <c r="B337" s="77"/>
    </row>
    <row r="338" ht="15">
      <c r="B338" s="77"/>
    </row>
    <row r="339" ht="15">
      <c r="B339" s="77"/>
    </row>
    <row r="340" ht="15">
      <c r="B340" s="77"/>
    </row>
    <row r="341" ht="15">
      <c r="B341" s="77"/>
    </row>
    <row r="342" ht="15">
      <c r="B342" s="77"/>
    </row>
    <row r="343" ht="15">
      <c r="B343" s="77"/>
    </row>
    <row r="344" ht="15">
      <c r="B344" s="77"/>
    </row>
    <row r="345" ht="15">
      <c r="B345" s="77"/>
    </row>
    <row r="346" ht="15">
      <c r="B346" s="77"/>
    </row>
    <row r="347" ht="15">
      <c r="B347" s="77"/>
    </row>
    <row r="348" ht="15">
      <c r="B348" s="77"/>
    </row>
    <row r="349" ht="15">
      <c r="B349" s="77"/>
    </row>
    <row r="350" ht="15">
      <c r="B350" s="77"/>
    </row>
    <row r="351" ht="15">
      <c r="B351" s="77"/>
    </row>
    <row r="352" ht="15">
      <c r="B352" s="77"/>
    </row>
    <row r="353" ht="15">
      <c r="B353" s="77"/>
    </row>
    <row r="354" ht="15">
      <c r="B354" s="77"/>
    </row>
    <row r="355" ht="15">
      <c r="B355" s="77"/>
    </row>
    <row r="356" ht="15">
      <c r="B356" s="77"/>
    </row>
    <row r="357" ht="15">
      <c r="B357" s="77"/>
    </row>
    <row r="358" ht="15">
      <c r="B358" s="77"/>
    </row>
    <row r="359" ht="15">
      <c r="B359" s="77"/>
    </row>
    <row r="360" ht="15">
      <c r="B360" s="77"/>
    </row>
    <row r="361" ht="15">
      <c r="B361" s="77"/>
    </row>
    <row r="362" ht="15">
      <c r="B362" s="77"/>
    </row>
    <row r="363" ht="15">
      <c r="B363" s="77"/>
    </row>
    <row r="364" ht="15">
      <c r="B364" s="77"/>
    </row>
    <row r="365" ht="15">
      <c r="B365" s="77"/>
    </row>
    <row r="366" ht="15">
      <c r="B366" s="77"/>
    </row>
    <row r="367" ht="15">
      <c r="B367" s="77"/>
    </row>
    <row r="368" ht="15">
      <c r="B368" s="77"/>
    </row>
    <row r="369" ht="15">
      <c r="B369" s="77"/>
    </row>
    <row r="370" ht="15">
      <c r="B370" s="77"/>
    </row>
    <row r="371" ht="15">
      <c r="B371" s="77"/>
    </row>
    <row r="372" ht="15">
      <c r="B372" s="77"/>
    </row>
    <row r="373" ht="15">
      <c r="B373" s="77"/>
    </row>
    <row r="374" ht="15">
      <c r="B374" s="77"/>
    </row>
    <row r="375" ht="15">
      <c r="B375" s="77"/>
    </row>
    <row r="376" ht="15">
      <c r="B376" s="77"/>
    </row>
    <row r="377" ht="15">
      <c r="B377" s="77"/>
    </row>
    <row r="378" ht="15">
      <c r="B378" s="77"/>
    </row>
    <row r="379" ht="15">
      <c r="B379" s="77"/>
    </row>
    <row r="380" ht="15">
      <c r="B380" s="77"/>
    </row>
    <row r="381" ht="15">
      <c r="B381" s="77"/>
    </row>
    <row r="382" ht="15">
      <c r="B382" s="77"/>
    </row>
    <row r="383" ht="15">
      <c r="B383" s="77"/>
    </row>
    <row r="384" ht="15">
      <c r="B384" s="77"/>
    </row>
    <row r="385" ht="15">
      <c r="B385" s="77"/>
    </row>
    <row r="386" ht="15">
      <c r="B386" s="77"/>
    </row>
    <row r="387" ht="15">
      <c r="B387" s="77"/>
    </row>
    <row r="388" ht="15">
      <c r="B388" s="77"/>
    </row>
    <row r="389" ht="15">
      <c r="B389" s="77"/>
    </row>
    <row r="390" ht="15">
      <c r="B390" s="77"/>
    </row>
    <row r="391" ht="15">
      <c r="B391" s="77"/>
    </row>
    <row r="392" ht="15">
      <c r="B392" s="77"/>
    </row>
    <row r="393" ht="15">
      <c r="B393" s="77"/>
    </row>
    <row r="394" ht="15">
      <c r="B394" s="77"/>
    </row>
    <row r="395" ht="15">
      <c r="B395" s="77"/>
    </row>
    <row r="396" ht="15">
      <c r="B396" s="77"/>
    </row>
    <row r="397" ht="15">
      <c r="B397" s="77"/>
    </row>
    <row r="398" ht="15">
      <c r="B398" s="77"/>
    </row>
    <row r="399" ht="15">
      <c r="B399" s="77"/>
    </row>
    <row r="400" ht="15">
      <c r="B400" s="77"/>
    </row>
    <row r="401" ht="15">
      <c r="B401" s="77"/>
    </row>
    <row r="402" ht="15">
      <c r="B402" s="77"/>
    </row>
    <row r="403" ht="15">
      <c r="B403" s="77"/>
    </row>
    <row r="404" ht="15">
      <c r="B404" s="77"/>
    </row>
    <row r="405" ht="15">
      <c r="B405" s="77"/>
    </row>
    <row r="406" ht="15">
      <c r="B406" s="77"/>
    </row>
    <row r="407" ht="15">
      <c r="B407" s="77"/>
    </row>
    <row r="408" ht="15">
      <c r="B408" s="77"/>
    </row>
    <row r="409" ht="15">
      <c r="B409" s="77"/>
    </row>
    <row r="410" ht="15">
      <c r="B410" s="77"/>
    </row>
    <row r="411" ht="15">
      <c r="B411" s="77"/>
    </row>
    <row r="412" ht="15">
      <c r="B412" s="77"/>
    </row>
    <row r="413" ht="15">
      <c r="B413" s="77"/>
    </row>
    <row r="414" ht="15">
      <c r="B414" s="77"/>
    </row>
    <row r="415" ht="15">
      <c r="B415" s="77"/>
    </row>
    <row r="416" ht="15">
      <c r="B416" s="77"/>
    </row>
    <row r="417" ht="15">
      <c r="B417" s="77"/>
    </row>
    <row r="418" ht="15">
      <c r="B418" s="77"/>
    </row>
    <row r="419" ht="15">
      <c r="B419" s="77"/>
    </row>
    <row r="420" ht="15">
      <c r="B420" s="77"/>
    </row>
    <row r="421" ht="15">
      <c r="B421" s="77"/>
    </row>
    <row r="422" ht="15">
      <c r="B422" s="77"/>
    </row>
    <row r="423" ht="15">
      <c r="B423" s="77"/>
    </row>
    <row r="424" ht="15">
      <c r="B424" s="77"/>
    </row>
    <row r="425" ht="15">
      <c r="B425" s="77"/>
    </row>
    <row r="426" ht="15">
      <c r="B426" s="77"/>
    </row>
    <row r="427" ht="15">
      <c r="B427" s="77"/>
    </row>
    <row r="428" ht="15">
      <c r="B428" s="77"/>
    </row>
    <row r="429" ht="15">
      <c r="B429" s="77"/>
    </row>
    <row r="430" ht="15">
      <c r="B430" s="77"/>
    </row>
    <row r="431" ht="15">
      <c r="B431" s="77"/>
    </row>
    <row r="432" ht="15">
      <c r="B432" s="77"/>
    </row>
    <row r="433" ht="15">
      <c r="B433" s="77"/>
    </row>
    <row r="434" ht="15">
      <c r="B434" s="77"/>
    </row>
    <row r="435" ht="15">
      <c r="B435" s="77"/>
    </row>
    <row r="436" ht="15">
      <c r="B436" s="77"/>
    </row>
    <row r="437" ht="15">
      <c r="B437" s="77"/>
    </row>
    <row r="438" ht="15">
      <c r="B438" s="77"/>
    </row>
    <row r="439" ht="15">
      <c r="B439" s="77"/>
    </row>
    <row r="440" ht="15">
      <c r="B440" s="77"/>
    </row>
    <row r="441" ht="15">
      <c r="B441" s="77"/>
    </row>
    <row r="442" ht="15">
      <c r="B442" s="77"/>
    </row>
    <row r="443" ht="15">
      <c r="B443" s="77"/>
    </row>
    <row r="444" ht="15">
      <c r="B444" s="77"/>
    </row>
    <row r="445" ht="15">
      <c r="B445" s="77"/>
    </row>
    <row r="446" ht="15">
      <c r="B446" s="77"/>
    </row>
  </sheetData>
  <sheetProtection/>
  <mergeCells count="39">
    <mergeCell ref="B275:H275"/>
    <mergeCell ref="B294:D294"/>
    <mergeCell ref="G10:H10"/>
    <mergeCell ref="A9:A12"/>
    <mergeCell ref="B9:B12"/>
    <mergeCell ref="D9:D12"/>
    <mergeCell ref="C9:C12"/>
    <mergeCell ref="E10:E12"/>
    <mergeCell ref="H11:H12"/>
    <mergeCell ref="G11:G12"/>
    <mergeCell ref="Q107:Q140"/>
    <mergeCell ref="E9:I9"/>
    <mergeCell ref="Q7:Q36"/>
    <mergeCell ref="L11:L12"/>
    <mergeCell ref="I10:I12"/>
    <mergeCell ref="K10:K12"/>
    <mergeCell ref="N10:N12"/>
    <mergeCell ref="M11:M12"/>
    <mergeCell ref="O11:O12"/>
    <mergeCell ref="J9:O9"/>
    <mergeCell ref="L1:O1"/>
    <mergeCell ref="L4:P4"/>
    <mergeCell ref="L5:P5"/>
    <mergeCell ref="A274:E274"/>
    <mergeCell ref="P9:P12"/>
    <mergeCell ref="L10:M10"/>
    <mergeCell ref="D7:O7"/>
    <mergeCell ref="J10:J12"/>
    <mergeCell ref="M274:O274"/>
    <mergeCell ref="F10:F12"/>
    <mergeCell ref="Q255:Q281"/>
    <mergeCell ref="B278:H278"/>
    <mergeCell ref="M278:P278"/>
    <mergeCell ref="Q141:Q168"/>
    <mergeCell ref="Q169:Q195"/>
    <mergeCell ref="Q196:Q226"/>
    <mergeCell ref="Q227:Q254"/>
    <mergeCell ref="Q37:Q68"/>
    <mergeCell ref="Q69:Q106"/>
  </mergeCells>
  <printOptions horizontalCentered="1"/>
  <pageMargins left="0.1968503937007874" right="0.1968503937007874" top="0.44" bottom="0.41" header="0.2" footer="0.2"/>
  <pageSetup fitToHeight="100" horizontalDpi="600" verticalDpi="600" orientation="landscape" paperSize="9" scale="46" r:id="rId1"/>
  <headerFooter alignWithMargins="0">
    <oddFooter xml:space="preserve">&amp;R&amp;20 Сторінка  &amp;P </oddFooter>
  </headerFooter>
  <rowBreaks count="1" manualBreakCount="1">
    <brk id="267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56"/>
  <sheetViews>
    <sheetView showGridLines="0" showZeros="0" tabSelected="1" view="pageBreakPreview" zoomScale="55" zoomScaleNormal="70" zoomScaleSheetLayoutView="55" zoomScalePageLayoutView="0" workbookViewId="0" topLeftCell="A1">
      <selection activeCell="A47" sqref="A47:C47"/>
    </sheetView>
  </sheetViews>
  <sheetFormatPr defaultColWidth="9.16015625" defaultRowHeight="12.75"/>
  <cols>
    <col min="1" max="1" width="19.16015625" style="5" customWidth="1"/>
    <col min="2" max="2" width="18.66015625" style="1" customWidth="1"/>
    <col min="3" max="3" width="65.33203125" style="43" customWidth="1"/>
    <col min="4" max="4" width="24.83203125" style="2" customWidth="1"/>
    <col min="5" max="5" width="23.16015625" style="2" customWidth="1"/>
    <col min="6" max="7" width="21.5" style="2" customWidth="1"/>
    <col min="8" max="8" width="19.33203125" style="2" customWidth="1"/>
    <col min="9" max="9" width="21.66015625" style="2" customWidth="1"/>
    <col min="10" max="10" width="18.83203125" style="2" customWidth="1"/>
    <col min="11" max="11" width="18.66015625" style="2" customWidth="1"/>
    <col min="12" max="12" width="18" style="2" customWidth="1"/>
    <col min="13" max="13" width="20.33203125" style="2" customWidth="1"/>
    <col min="14" max="14" width="22.33203125" style="2" customWidth="1"/>
    <col min="15" max="15" width="24.5" style="2" customWidth="1"/>
    <col min="16" max="16" width="8" style="230" customWidth="1"/>
    <col min="17" max="17" width="21.5" style="154" customWidth="1"/>
    <col min="18" max="18" width="23" style="154" customWidth="1"/>
    <col min="19" max="26" width="17.5" style="154" customWidth="1"/>
    <col min="27" max="27" width="20.83203125" style="154" customWidth="1"/>
    <col min="28" max="28" width="21.5" style="154" customWidth="1"/>
    <col min="29" max="29" width="17.5" style="154" customWidth="1"/>
    <col min="30" max="30" width="19.66015625" style="154" customWidth="1"/>
    <col min="31" max="34" width="17.5" style="154" customWidth="1"/>
    <col min="35" max="35" width="17.5" style="155" customWidth="1"/>
    <col min="36" max="16384" width="9.16015625" style="2" customWidth="1"/>
  </cols>
  <sheetData>
    <row r="1" spans="1:15" ht="26.25" customHeight="1">
      <c r="A1" s="17"/>
      <c r="K1" s="254" t="s">
        <v>590</v>
      </c>
      <c r="L1" s="254"/>
      <c r="M1" s="254"/>
      <c r="N1" s="254"/>
      <c r="O1" s="233"/>
    </row>
    <row r="2" spans="1:16" ht="26.25" customHeight="1">
      <c r="A2" s="17"/>
      <c r="K2" s="233" t="s">
        <v>596</v>
      </c>
      <c r="L2" s="233"/>
      <c r="M2" s="233"/>
      <c r="N2" s="233"/>
      <c r="O2" s="233"/>
      <c r="P2" s="251">
        <v>24</v>
      </c>
    </row>
    <row r="3" spans="1:16" ht="26.25">
      <c r="A3" s="17"/>
      <c r="K3" s="233" t="s">
        <v>597</v>
      </c>
      <c r="L3" s="233"/>
      <c r="M3" s="233"/>
      <c r="N3" s="233"/>
      <c r="O3" s="233"/>
      <c r="P3" s="251"/>
    </row>
    <row r="4" spans="1:16" ht="26.25">
      <c r="A4" s="17"/>
      <c r="K4" s="255" t="s">
        <v>598</v>
      </c>
      <c r="L4" s="255"/>
      <c r="M4" s="255"/>
      <c r="N4" s="255"/>
      <c r="O4" s="255"/>
      <c r="P4" s="251"/>
    </row>
    <row r="5" spans="1:16" ht="24.75" customHeight="1">
      <c r="A5" s="17"/>
      <c r="B5" s="6"/>
      <c r="C5" s="44"/>
      <c r="K5" s="255" t="s">
        <v>599</v>
      </c>
      <c r="L5" s="255"/>
      <c r="M5" s="255"/>
      <c r="N5" s="255"/>
      <c r="O5" s="255"/>
      <c r="P5" s="251"/>
    </row>
    <row r="6" spans="1:16" ht="12.75" customHeight="1">
      <c r="A6" s="17"/>
      <c r="B6" s="6"/>
      <c r="C6" s="44"/>
      <c r="K6" s="234"/>
      <c r="L6" s="234"/>
      <c r="M6" s="234"/>
      <c r="N6" s="234"/>
      <c r="O6" s="234"/>
      <c r="P6" s="251"/>
    </row>
    <row r="7" spans="1:16" ht="77.25" customHeight="1">
      <c r="A7" s="257" t="s">
        <v>361</v>
      </c>
      <c r="B7" s="257"/>
      <c r="C7" s="257"/>
      <c r="D7" s="257"/>
      <c r="E7" s="257"/>
      <c r="F7" s="257"/>
      <c r="G7" s="257"/>
      <c r="H7" s="257"/>
      <c r="I7" s="257"/>
      <c r="J7" s="257"/>
      <c r="K7" s="257"/>
      <c r="L7" s="257"/>
      <c r="M7" s="257"/>
      <c r="P7" s="251"/>
    </row>
    <row r="8" spans="1:35" s="16" customFormat="1" ht="24" customHeight="1">
      <c r="A8" s="17"/>
      <c r="B8" s="24"/>
      <c r="C8" s="45"/>
      <c r="O8" s="16" t="s">
        <v>373</v>
      </c>
      <c r="P8" s="251"/>
      <c r="Q8" s="219"/>
      <c r="R8" s="219"/>
      <c r="S8" s="219"/>
      <c r="T8" s="219"/>
      <c r="U8" s="219"/>
      <c r="V8" s="219"/>
      <c r="W8" s="219"/>
      <c r="X8" s="219"/>
      <c r="Y8" s="219"/>
      <c r="Z8" s="266"/>
      <c r="AA8" s="266"/>
      <c r="AB8" s="266"/>
      <c r="AC8" s="266"/>
      <c r="AD8" s="266"/>
      <c r="AE8" s="266"/>
      <c r="AF8" s="266"/>
      <c r="AG8" s="266"/>
      <c r="AH8" s="266"/>
      <c r="AI8" s="266"/>
    </row>
    <row r="9" spans="1:35" ht="21.75" customHeight="1">
      <c r="A9" s="262" t="s">
        <v>165</v>
      </c>
      <c r="B9" s="262" t="s">
        <v>80</v>
      </c>
      <c r="C9" s="262" t="s">
        <v>178</v>
      </c>
      <c r="D9" s="250" t="s">
        <v>362</v>
      </c>
      <c r="E9" s="250"/>
      <c r="F9" s="250"/>
      <c r="G9" s="250"/>
      <c r="H9" s="250"/>
      <c r="I9" s="250" t="s">
        <v>363</v>
      </c>
      <c r="J9" s="250"/>
      <c r="K9" s="250"/>
      <c r="L9" s="250"/>
      <c r="M9" s="250"/>
      <c r="N9" s="250"/>
      <c r="O9" s="250" t="s">
        <v>364</v>
      </c>
      <c r="P9" s="251"/>
      <c r="Q9" s="219"/>
      <c r="R9" s="219"/>
      <c r="S9" s="219"/>
      <c r="T9" s="219"/>
      <c r="U9" s="219"/>
      <c r="V9" s="219"/>
      <c r="W9" s="219"/>
      <c r="X9" s="219"/>
      <c r="Y9" s="219"/>
      <c r="Z9" s="265"/>
      <c r="AA9" s="265"/>
      <c r="AB9" s="265"/>
      <c r="AC9" s="265"/>
      <c r="AD9" s="265"/>
      <c r="AE9" s="265"/>
      <c r="AF9" s="265"/>
      <c r="AG9" s="265"/>
      <c r="AH9" s="265"/>
      <c r="AI9" s="265"/>
    </row>
    <row r="10" spans="1:35" ht="29.25" customHeight="1">
      <c r="A10" s="262"/>
      <c r="B10" s="262"/>
      <c r="C10" s="262"/>
      <c r="D10" s="250" t="s">
        <v>365</v>
      </c>
      <c r="E10" s="250" t="s">
        <v>366</v>
      </c>
      <c r="F10" s="250"/>
      <c r="G10" s="250"/>
      <c r="H10" s="250" t="s">
        <v>368</v>
      </c>
      <c r="I10" s="250" t="s">
        <v>365</v>
      </c>
      <c r="J10" s="250" t="s">
        <v>366</v>
      </c>
      <c r="K10" s="250" t="s">
        <v>367</v>
      </c>
      <c r="L10" s="250"/>
      <c r="M10" s="250" t="s">
        <v>368</v>
      </c>
      <c r="N10" s="39" t="s">
        <v>367</v>
      </c>
      <c r="O10" s="250"/>
      <c r="P10" s="251"/>
      <c r="Q10" s="219"/>
      <c r="R10" s="219"/>
      <c r="S10" s="219"/>
      <c r="T10" s="219"/>
      <c r="U10" s="219"/>
      <c r="V10" s="219"/>
      <c r="W10" s="219"/>
      <c r="X10" s="219"/>
      <c r="Y10" s="218"/>
      <c r="Z10" s="265"/>
      <c r="AA10" s="265"/>
      <c r="AB10" s="265"/>
      <c r="AC10" s="265"/>
      <c r="AD10" s="265"/>
      <c r="AE10" s="265"/>
      <c r="AF10" s="265"/>
      <c r="AG10" s="198"/>
      <c r="AH10" s="198"/>
      <c r="AI10" s="199"/>
    </row>
    <row r="11" spans="1:35" ht="20.25" customHeight="1">
      <c r="A11" s="262"/>
      <c r="B11" s="262"/>
      <c r="C11" s="262"/>
      <c r="D11" s="250"/>
      <c r="E11" s="250"/>
      <c r="F11" s="250" t="s">
        <v>369</v>
      </c>
      <c r="G11" s="250" t="s">
        <v>370</v>
      </c>
      <c r="H11" s="250"/>
      <c r="I11" s="250"/>
      <c r="J11" s="250"/>
      <c r="K11" s="250" t="s">
        <v>369</v>
      </c>
      <c r="L11" s="250" t="s">
        <v>370</v>
      </c>
      <c r="M11" s="250"/>
      <c r="N11" s="250" t="s">
        <v>371</v>
      </c>
      <c r="O11" s="250"/>
      <c r="P11" s="251"/>
      <c r="Q11" s="220"/>
      <c r="R11" s="221"/>
      <c r="S11" s="221"/>
      <c r="T11" s="219"/>
      <c r="U11" s="219"/>
      <c r="V11" s="219"/>
      <c r="W11" s="221"/>
      <c r="X11" s="221"/>
      <c r="Y11" s="221"/>
      <c r="Z11" s="224"/>
      <c r="AA11" s="225"/>
      <c r="AB11" s="201"/>
      <c r="AC11" s="201"/>
      <c r="AD11" s="265"/>
      <c r="AE11" s="265"/>
      <c r="AF11" s="265"/>
      <c r="AG11" s="201"/>
      <c r="AH11" s="201"/>
      <c r="AI11" s="202"/>
    </row>
    <row r="12" spans="1:35" ht="71.25" customHeight="1">
      <c r="A12" s="262"/>
      <c r="B12" s="262"/>
      <c r="C12" s="262"/>
      <c r="D12" s="250"/>
      <c r="E12" s="250"/>
      <c r="F12" s="250"/>
      <c r="G12" s="250"/>
      <c r="H12" s="250"/>
      <c r="I12" s="250"/>
      <c r="J12" s="250"/>
      <c r="K12" s="250"/>
      <c r="L12" s="250"/>
      <c r="M12" s="250"/>
      <c r="N12" s="250"/>
      <c r="O12" s="250"/>
      <c r="P12" s="251"/>
      <c r="Q12" s="218"/>
      <c r="R12" s="218"/>
      <c r="S12" s="222"/>
      <c r="T12" s="219"/>
      <c r="U12" s="219"/>
      <c r="V12" s="219"/>
      <c r="W12" s="219"/>
      <c r="X12" s="219"/>
      <c r="Y12" s="222"/>
      <c r="Z12" s="224"/>
      <c r="AA12" s="226"/>
      <c r="AB12" s="198"/>
      <c r="AC12" s="200"/>
      <c r="AD12" s="265"/>
      <c r="AE12" s="265"/>
      <c r="AF12" s="265"/>
      <c r="AG12" s="198"/>
      <c r="AH12" s="198"/>
      <c r="AI12" s="203"/>
    </row>
    <row r="13" spans="1:35" s="22" customFormat="1" ht="27.75" customHeight="1">
      <c r="A13" s="23" t="s">
        <v>76</v>
      </c>
      <c r="B13" s="35"/>
      <c r="C13" s="40" t="s">
        <v>77</v>
      </c>
      <c r="D13" s="56">
        <f>D14+D15</f>
        <v>177634200</v>
      </c>
      <c r="E13" s="56">
        <f aca="true" t="shared" si="0" ref="E13:N13">E14+E15</f>
        <v>177634200</v>
      </c>
      <c r="F13" s="56">
        <f t="shared" si="0"/>
        <v>134907298</v>
      </c>
      <c r="G13" s="56">
        <f t="shared" si="0"/>
        <v>3676960</v>
      </c>
      <c r="H13" s="56">
        <f t="shared" si="0"/>
        <v>0</v>
      </c>
      <c r="I13" s="56">
        <f t="shared" si="0"/>
        <v>6096000</v>
      </c>
      <c r="J13" s="56">
        <f t="shared" si="0"/>
        <v>2250000</v>
      </c>
      <c r="K13" s="56">
        <f t="shared" si="0"/>
        <v>1725540</v>
      </c>
      <c r="L13" s="56">
        <f t="shared" si="0"/>
        <v>46200</v>
      </c>
      <c r="M13" s="56">
        <f t="shared" si="0"/>
        <v>3846000</v>
      </c>
      <c r="N13" s="56">
        <f t="shared" si="0"/>
        <v>3496000</v>
      </c>
      <c r="O13" s="56">
        <f>O14+O15</f>
        <v>183730200</v>
      </c>
      <c r="P13" s="251"/>
      <c r="Q13" s="204"/>
      <c r="R13" s="204"/>
      <c r="S13" s="204"/>
      <c r="T13" s="204"/>
      <c r="U13" s="204"/>
      <c r="V13" s="204"/>
      <c r="W13" s="204"/>
      <c r="X13" s="204"/>
      <c r="Y13" s="204"/>
      <c r="Z13" s="204"/>
      <c r="AA13" s="204"/>
      <c r="AB13" s="204"/>
      <c r="AC13" s="204"/>
      <c r="AD13" s="204"/>
      <c r="AE13" s="204"/>
      <c r="AF13" s="204"/>
      <c r="AG13" s="204"/>
      <c r="AH13" s="204"/>
      <c r="AI13" s="204"/>
    </row>
    <row r="14" spans="1:35" ht="57.75" customHeight="1">
      <c r="A14" s="5" t="s">
        <v>180</v>
      </c>
      <c r="B14" s="5" t="s">
        <v>79</v>
      </c>
      <c r="C14" s="18" t="s">
        <v>181</v>
      </c>
      <c r="D14" s="52">
        <f>'дод. 3'!E15+'дод. 3'!E63+'дод. 3'!E88+'дод. 3'!E119+'дод. 3'!E188+'дод. 3'!E193+'дод. 3'!E202+'дод. 3'!E223+'дод. 3'!E227+'дод. 3'!E243+'дод. 3'!E249+'дод. 3'!E252+'дод. 3'!E261+'дод. 3'!E264</f>
        <v>177534200</v>
      </c>
      <c r="E14" s="52">
        <f>'дод. 3'!F15+'дод. 3'!F63+'дод. 3'!F88+'дод. 3'!F119+'дод. 3'!F188+'дод. 3'!F193+'дод. 3'!F202+'дод. 3'!F223+'дод. 3'!F227+'дод. 3'!F243+'дод. 3'!F249+'дод. 3'!F252+'дод. 3'!F261+'дод. 3'!F264</f>
        <v>177534200</v>
      </c>
      <c r="F14" s="52">
        <f>'дод. 3'!G15+'дод. 3'!G63+'дод. 3'!G88+'дод. 3'!G119+'дод. 3'!G188+'дод. 3'!G193+'дод. 3'!G202+'дод. 3'!G223+'дод. 3'!G227+'дод. 3'!G243+'дод. 3'!G249+'дод. 3'!G252+'дод. 3'!G261+'дод. 3'!G264</f>
        <v>134907298</v>
      </c>
      <c r="G14" s="52">
        <f>'дод. 3'!H15+'дод. 3'!H63+'дод. 3'!H88+'дод. 3'!H119+'дод. 3'!H188+'дод. 3'!H193+'дод. 3'!H202+'дод. 3'!H223+'дод. 3'!H227+'дод. 3'!H243+'дод. 3'!H249+'дод. 3'!H252+'дод. 3'!H261+'дод. 3'!H264</f>
        <v>3676960</v>
      </c>
      <c r="H14" s="52">
        <f>'дод. 3'!I15+'дод. 3'!I63+'дод. 3'!I88+'дод. 3'!I119+'дод. 3'!I188+'дод. 3'!I193+'дод. 3'!I202+'дод. 3'!I223+'дод. 3'!I227+'дод. 3'!I243+'дод. 3'!I249+'дод. 3'!I252+'дод. 3'!I261+'дод. 3'!I264</f>
        <v>0</v>
      </c>
      <c r="I14" s="52">
        <f>'дод. 3'!J15+'дод. 3'!J63+'дод. 3'!J88+'дод. 3'!J119+'дод. 3'!J188+'дод. 3'!J193+'дод. 3'!J202+'дод. 3'!J223+'дод. 3'!J227+'дод. 3'!J243+'дод. 3'!J249+'дод. 3'!J252+'дод. 3'!J261+'дод. 3'!J264</f>
        <v>6096000</v>
      </c>
      <c r="J14" s="52">
        <f>'дод. 3'!K15+'дод. 3'!K63+'дод. 3'!K88+'дод. 3'!K119+'дод. 3'!K188+'дод. 3'!K193+'дод. 3'!K202+'дод. 3'!K223+'дод. 3'!K227+'дод. 3'!K243+'дод. 3'!K249+'дод. 3'!K252+'дод. 3'!K261+'дод. 3'!K264</f>
        <v>2250000</v>
      </c>
      <c r="K14" s="52">
        <f>'дод. 3'!L15+'дод. 3'!L63+'дод. 3'!L88+'дод. 3'!L119+'дод. 3'!L188+'дод. 3'!L193+'дод. 3'!L202+'дод. 3'!L223+'дод. 3'!L227+'дод. 3'!L243+'дод. 3'!L249+'дод. 3'!L252+'дод. 3'!L261+'дод. 3'!L264</f>
        <v>1725540</v>
      </c>
      <c r="L14" s="52">
        <f>'дод. 3'!M15+'дод. 3'!M63+'дод. 3'!M88+'дод. 3'!M119+'дод. 3'!M188+'дод. 3'!M193+'дод. 3'!M202+'дод. 3'!M223+'дод. 3'!M227+'дод. 3'!M243+'дод. 3'!M249+'дод. 3'!M252+'дод. 3'!M261+'дод. 3'!M264</f>
        <v>46200</v>
      </c>
      <c r="M14" s="52">
        <f>'дод. 3'!N15+'дод. 3'!N63+'дод. 3'!N88+'дод. 3'!N119+'дод. 3'!N188+'дод. 3'!N193+'дод. 3'!N202+'дод. 3'!N223+'дод. 3'!N227+'дод. 3'!N243+'дод. 3'!N249+'дод. 3'!N252+'дод. 3'!N261+'дод. 3'!N264</f>
        <v>3846000</v>
      </c>
      <c r="N14" s="52">
        <f>'дод. 3'!O15+'дод. 3'!O63+'дод. 3'!O88+'дод. 3'!O119+'дод. 3'!O188+'дод. 3'!O193+'дод. 3'!O202+'дод. 3'!O223+'дод. 3'!O227+'дод. 3'!O243+'дод. 3'!O249+'дод. 3'!O252+'дод. 3'!O261+'дод. 3'!O264</f>
        <v>3496000</v>
      </c>
      <c r="O14" s="52">
        <f>'дод. 3'!P15+'дод. 3'!P63+'дод. 3'!P88+'дод. 3'!P119+'дод. 3'!P188+'дод. 3'!P193+'дод. 3'!P202+'дод. 3'!P223+'дод. 3'!P227+'дод. 3'!P243+'дод. 3'!P249+'дод. 3'!P252+'дод. 3'!P261+'дод. 3'!P264</f>
        <v>183630200</v>
      </c>
      <c r="P14" s="251"/>
      <c r="Q14" s="205"/>
      <c r="R14" s="205"/>
      <c r="S14" s="205"/>
      <c r="T14" s="205"/>
      <c r="U14" s="205"/>
      <c r="V14" s="205"/>
      <c r="W14" s="205"/>
      <c r="X14" s="205"/>
      <c r="Y14" s="205"/>
      <c r="Z14" s="205"/>
      <c r="AA14" s="205"/>
      <c r="AB14" s="205"/>
      <c r="AC14" s="205"/>
      <c r="AD14" s="205"/>
      <c r="AE14" s="205"/>
      <c r="AF14" s="205"/>
      <c r="AG14" s="205"/>
      <c r="AH14" s="205"/>
      <c r="AI14" s="205"/>
    </row>
    <row r="15" spans="1:35" ht="27" customHeight="1">
      <c r="A15" s="5" t="s">
        <v>78</v>
      </c>
      <c r="B15" s="5" t="s">
        <v>140</v>
      </c>
      <c r="C15" s="18" t="s">
        <v>386</v>
      </c>
      <c r="D15" s="52">
        <f>'дод. 3'!E16</f>
        <v>100000</v>
      </c>
      <c r="E15" s="52">
        <f>'дод. 3'!F16</f>
        <v>100000</v>
      </c>
      <c r="F15" s="52">
        <f>'дод. 3'!G16</f>
        <v>0</v>
      </c>
      <c r="G15" s="52">
        <f>'дод. 3'!H16</f>
        <v>0</v>
      </c>
      <c r="H15" s="52">
        <f>'дод. 3'!I16</f>
        <v>0</v>
      </c>
      <c r="I15" s="52">
        <f>'дод. 3'!J16</f>
        <v>0</v>
      </c>
      <c r="J15" s="52">
        <f>'дод. 3'!K16</f>
        <v>0</v>
      </c>
      <c r="K15" s="52">
        <f>'дод. 3'!L16</f>
        <v>0</v>
      </c>
      <c r="L15" s="52">
        <f>'дод. 3'!M16</f>
        <v>0</v>
      </c>
      <c r="M15" s="52">
        <f>'дод. 3'!N16</f>
        <v>0</v>
      </c>
      <c r="N15" s="52">
        <f>'дод. 3'!O16</f>
        <v>0</v>
      </c>
      <c r="O15" s="52">
        <f>'дод. 3'!P16</f>
        <v>100000</v>
      </c>
      <c r="P15" s="251"/>
      <c r="Q15" s="205"/>
      <c r="R15" s="205"/>
      <c r="S15" s="205"/>
      <c r="T15" s="205"/>
      <c r="U15" s="205"/>
      <c r="V15" s="205"/>
      <c r="W15" s="205"/>
      <c r="X15" s="205"/>
      <c r="Y15" s="205"/>
      <c r="Z15" s="205"/>
      <c r="AA15" s="205"/>
      <c r="AB15" s="205"/>
      <c r="AC15" s="205"/>
      <c r="AD15" s="205"/>
      <c r="AE15" s="205"/>
      <c r="AF15" s="205"/>
      <c r="AG15" s="205"/>
      <c r="AH15" s="205"/>
      <c r="AI15" s="205"/>
    </row>
    <row r="16" spans="1:35" s="22" customFormat="1" ht="24" customHeight="1">
      <c r="A16" s="23" t="s">
        <v>81</v>
      </c>
      <c r="B16" s="35"/>
      <c r="C16" s="40" t="s">
        <v>82</v>
      </c>
      <c r="D16" s="56">
        <f aca="true" t="shared" si="1" ref="D16:O16">D18+D19+D21+D23+D25+D26+D27+D29+D30</f>
        <v>751621865</v>
      </c>
      <c r="E16" s="56">
        <f t="shared" si="1"/>
        <v>751621865</v>
      </c>
      <c r="F16" s="56">
        <f t="shared" si="1"/>
        <v>490630374</v>
      </c>
      <c r="G16" s="56">
        <f t="shared" si="1"/>
        <v>70210860</v>
      </c>
      <c r="H16" s="56">
        <f t="shared" si="1"/>
        <v>0</v>
      </c>
      <c r="I16" s="56">
        <f t="shared" si="1"/>
        <v>62527803</v>
      </c>
      <c r="J16" s="56">
        <f t="shared" si="1"/>
        <v>50066378</v>
      </c>
      <c r="K16" s="56">
        <f t="shared" si="1"/>
        <v>4398944</v>
      </c>
      <c r="L16" s="56">
        <f t="shared" si="1"/>
        <v>2371330</v>
      </c>
      <c r="M16" s="56">
        <f t="shared" si="1"/>
        <v>12461425</v>
      </c>
      <c r="N16" s="56">
        <f t="shared" si="1"/>
        <v>12262005</v>
      </c>
      <c r="O16" s="56">
        <f t="shared" si="1"/>
        <v>814149668</v>
      </c>
      <c r="P16" s="251"/>
      <c r="Q16" s="206"/>
      <c r="R16" s="206"/>
      <c r="S16" s="206"/>
      <c r="T16" s="206"/>
      <c r="U16" s="206"/>
      <c r="V16" s="206"/>
      <c r="W16" s="206"/>
      <c r="X16" s="206"/>
      <c r="Y16" s="206"/>
      <c r="Z16" s="206"/>
      <c r="AA16" s="206"/>
      <c r="AB16" s="206"/>
      <c r="AC16" s="206"/>
      <c r="AD16" s="206"/>
      <c r="AE16" s="206"/>
      <c r="AF16" s="206"/>
      <c r="AG16" s="206"/>
      <c r="AH16" s="206"/>
      <c r="AI16" s="206"/>
    </row>
    <row r="17" spans="1:35" s="29" customFormat="1" ht="24" customHeight="1">
      <c r="A17" s="23"/>
      <c r="B17" s="35"/>
      <c r="C17" s="11" t="s">
        <v>416</v>
      </c>
      <c r="D17" s="56">
        <f>D20+D22+D24+D28</f>
        <v>259300600</v>
      </c>
      <c r="E17" s="56">
        <f aca="true" t="shared" si="2" ref="E17:O17">E20+E22+E24+E28</f>
        <v>259300600</v>
      </c>
      <c r="F17" s="56">
        <f t="shared" si="2"/>
        <v>212872900</v>
      </c>
      <c r="G17" s="56">
        <f t="shared" si="2"/>
        <v>0</v>
      </c>
      <c r="H17" s="56">
        <f t="shared" si="2"/>
        <v>0</v>
      </c>
      <c r="I17" s="56">
        <f t="shared" si="2"/>
        <v>0</v>
      </c>
      <c r="J17" s="56">
        <f t="shared" si="2"/>
        <v>0</v>
      </c>
      <c r="K17" s="56">
        <f t="shared" si="2"/>
        <v>0</v>
      </c>
      <c r="L17" s="56">
        <f t="shared" si="2"/>
        <v>0</v>
      </c>
      <c r="M17" s="56">
        <f t="shared" si="2"/>
        <v>0</v>
      </c>
      <c r="N17" s="56">
        <f t="shared" si="2"/>
        <v>0</v>
      </c>
      <c r="O17" s="56">
        <f t="shared" si="2"/>
        <v>259300600</v>
      </c>
      <c r="P17" s="251"/>
      <c r="Q17" s="204"/>
      <c r="R17" s="204"/>
      <c r="S17" s="204"/>
      <c r="T17" s="204"/>
      <c r="U17" s="204"/>
      <c r="V17" s="204"/>
      <c r="W17" s="204"/>
      <c r="X17" s="204"/>
      <c r="Y17" s="204"/>
      <c r="Z17" s="204"/>
      <c r="AA17" s="204"/>
      <c r="AB17" s="204"/>
      <c r="AC17" s="204"/>
      <c r="AD17" s="204"/>
      <c r="AE17" s="204"/>
      <c r="AF17" s="204"/>
      <c r="AG17" s="204"/>
      <c r="AH17" s="204"/>
      <c r="AI17" s="204"/>
    </row>
    <row r="18" spans="1:35" ht="27" customHeight="1">
      <c r="A18" s="5" t="s">
        <v>83</v>
      </c>
      <c r="B18" s="5" t="s">
        <v>84</v>
      </c>
      <c r="C18" s="18" t="s">
        <v>222</v>
      </c>
      <c r="D18" s="52">
        <f>'дод. 3'!E64</f>
        <v>190472470</v>
      </c>
      <c r="E18" s="52">
        <f>'дод. 3'!F64</f>
        <v>190472470</v>
      </c>
      <c r="F18" s="52">
        <f>'дод. 3'!G64</f>
        <v>119291300</v>
      </c>
      <c r="G18" s="52">
        <f>'дод. 3'!H64</f>
        <v>22031690</v>
      </c>
      <c r="H18" s="52">
        <f>'дод. 3'!I64</f>
        <v>0</v>
      </c>
      <c r="I18" s="52">
        <f>'дод. 3'!J64</f>
        <v>19565511</v>
      </c>
      <c r="J18" s="52">
        <f>'дод. 3'!K64</f>
        <v>16065511</v>
      </c>
      <c r="K18" s="52">
        <f>'дод. 3'!L64</f>
        <v>0</v>
      </c>
      <c r="L18" s="52">
        <f>'дод. 3'!M64</f>
        <v>0</v>
      </c>
      <c r="M18" s="52">
        <f>'дод. 3'!N64</f>
        <v>3500000</v>
      </c>
      <c r="N18" s="52">
        <f>'дод. 3'!O64</f>
        <v>3500000</v>
      </c>
      <c r="O18" s="52">
        <f>'дод. 3'!P64</f>
        <v>210037981</v>
      </c>
      <c r="P18" s="251"/>
      <c r="Q18" s="205"/>
      <c r="R18" s="205"/>
      <c r="S18" s="205"/>
      <c r="T18" s="205"/>
      <c r="U18" s="205"/>
      <c r="V18" s="205"/>
      <c r="W18" s="205"/>
      <c r="X18" s="205"/>
      <c r="Y18" s="205"/>
      <c r="Z18" s="205"/>
      <c r="AA18" s="205"/>
      <c r="AB18" s="205"/>
      <c r="AC18" s="205"/>
      <c r="AD18" s="205"/>
      <c r="AE18" s="205"/>
      <c r="AF18" s="205"/>
      <c r="AG18" s="205"/>
      <c r="AH18" s="205"/>
      <c r="AI18" s="205"/>
    </row>
    <row r="19" spans="1:35" ht="71.25" customHeight="1">
      <c r="A19" s="5" t="s">
        <v>85</v>
      </c>
      <c r="B19" s="5" t="s">
        <v>86</v>
      </c>
      <c r="C19" s="18" t="s">
        <v>584</v>
      </c>
      <c r="D19" s="52">
        <f>'дод. 3'!E65</f>
        <v>397875957</v>
      </c>
      <c r="E19" s="52">
        <f>'дод. 3'!F65</f>
        <v>397875957</v>
      </c>
      <c r="F19" s="52">
        <f>'дод. 3'!G65</f>
        <v>266335300</v>
      </c>
      <c r="G19" s="52">
        <f>'дод. 3'!H65</f>
        <v>34867640</v>
      </c>
      <c r="H19" s="52">
        <f>'дод. 3'!I65</f>
        <v>0</v>
      </c>
      <c r="I19" s="52">
        <f>'дод. 3'!J65</f>
        <v>33247472</v>
      </c>
      <c r="J19" s="52">
        <f>'дод. 3'!K65</f>
        <v>25377767</v>
      </c>
      <c r="K19" s="52">
        <f>'дод. 3'!L65</f>
        <v>624000</v>
      </c>
      <c r="L19" s="52">
        <f>'дод. 3'!M65</f>
        <v>36920</v>
      </c>
      <c r="M19" s="52">
        <f>'дод. 3'!N65</f>
        <v>7869705</v>
      </c>
      <c r="N19" s="52">
        <f>'дод. 3'!O65</f>
        <v>7869705</v>
      </c>
      <c r="O19" s="52">
        <f>'дод. 3'!P65</f>
        <v>431123429</v>
      </c>
      <c r="P19" s="251"/>
      <c r="Q19" s="205"/>
      <c r="R19" s="205"/>
      <c r="S19" s="205"/>
      <c r="T19" s="205"/>
      <c r="U19" s="205"/>
      <c r="V19" s="205"/>
      <c r="W19" s="205"/>
      <c r="X19" s="205"/>
      <c r="Y19" s="205"/>
      <c r="Z19" s="205"/>
      <c r="AA19" s="205"/>
      <c r="AB19" s="205"/>
      <c r="AC19" s="205"/>
      <c r="AD19" s="205"/>
      <c r="AE19" s="205"/>
      <c r="AF19" s="205"/>
      <c r="AG19" s="205"/>
      <c r="AH19" s="205"/>
      <c r="AI19" s="205"/>
    </row>
    <row r="20" spans="2:35" ht="28.5" customHeight="1">
      <c r="B20" s="5"/>
      <c r="C20" s="13" t="s">
        <v>416</v>
      </c>
      <c r="D20" s="52">
        <f>'дод. 3'!E66</f>
        <v>244384200</v>
      </c>
      <c r="E20" s="52">
        <f>'дод. 3'!F66</f>
        <v>244384200</v>
      </c>
      <c r="F20" s="52">
        <f>'дод. 3'!G66</f>
        <v>200639900</v>
      </c>
      <c r="G20" s="52">
        <f>'дод. 3'!H66</f>
        <v>0</v>
      </c>
      <c r="H20" s="52">
        <f>'дод. 3'!I66</f>
        <v>0</v>
      </c>
      <c r="I20" s="52">
        <f>'дод. 3'!J66</f>
        <v>0</v>
      </c>
      <c r="J20" s="52">
        <f>'дод. 3'!K66</f>
        <v>0</v>
      </c>
      <c r="K20" s="52">
        <f>'дод. 3'!L66</f>
        <v>0</v>
      </c>
      <c r="L20" s="52">
        <f>'дод. 3'!M66</f>
        <v>0</v>
      </c>
      <c r="M20" s="52">
        <f>'дод. 3'!N66</f>
        <v>0</v>
      </c>
      <c r="N20" s="52">
        <f>'дод. 3'!O66</f>
        <v>0</v>
      </c>
      <c r="O20" s="52">
        <f>'дод. 3'!P66</f>
        <v>244384200</v>
      </c>
      <c r="P20" s="251"/>
      <c r="Q20" s="205"/>
      <c r="R20" s="205"/>
      <c r="S20" s="205"/>
      <c r="T20" s="205"/>
      <c r="U20" s="205"/>
      <c r="V20" s="205"/>
      <c r="W20" s="205"/>
      <c r="X20" s="205"/>
      <c r="Y20" s="205"/>
      <c r="Z20" s="205"/>
      <c r="AA20" s="205"/>
      <c r="AB20" s="205"/>
      <c r="AC20" s="205"/>
      <c r="AD20" s="205"/>
      <c r="AE20" s="205"/>
      <c r="AF20" s="205"/>
      <c r="AG20" s="205"/>
      <c r="AH20" s="205"/>
      <c r="AI20" s="205"/>
    </row>
    <row r="21" spans="1:35" ht="42.75" customHeight="1">
      <c r="A21" s="5" t="s">
        <v>87</v>
      </c>
      <c r="B21" s="5" t="s">
        <v>86</v>
      </c>
      <c r="C21" s="18" t="s">
        <v>49</v>
      </c>
      <c r="D21" s="52">
        <f>'дод. 3'!E67</f>
        <v>778340</v>
      </c>
      <c r="E21" s="52">
        <f>'дод. 3'!F67</f>
        <v>778340</v>
      </c>
      <c r="F21" s="52">
        <f>'дод. 3'!G67</f>
        <v>637000</v>
      </c>
      <c r="G21" s="52">
        <f>'дод. 3'!H67</f>
        <v>0</v>
      </c>
      <c r="H21" s="52">
        <f>'дод. 3'!I67</f>
        <v>0</v>
      </c>
      <c r="I21" s="52">
        <f>'дод. 3'!J67</f>
        <v>0</v>
      </c>
      <c r="J21" s="52">
        <f>'дод. 3'!K67</f>
        <v>0</v>
      </c>
      <c r="K21" s="52">
        <f>'дод. 3'!L67</f>
        <v>0</v>
      </c>
      <c r="L21" s="52">
        <f>'дод. 3'!M67</f>
        <v>0</v>
      </c>
      <c r="M21" s="52">
        <f>'дод. 3'!N67</f>
        <v>0</v>
      </c>
      <c r="N21" s="52">
        <f>'дод. 3'!O67</f>
        <v>0</v>
      </c>
      <c r="O21" s="52">
        <f>'дод. 3'!P67</f>
        <v>778340</v>
      </c>
      <c r="P21" s="251"/>
      <c r="Q21" s="205"/>
      <c r="R21" s="205"/>
      <c r="S21" s="205"/>
      <c r="T21" s="205"/>
      <c r="U21" s="205"/>
      <c r="V21" s="205"/>
      <c r="W21" s="205"/>
      <c r="X21" s="205"/>
      <c r="Y21" s="205"/>
      <c r="Z21" s="205"/>
      <c r="AA21" s="205"/>
      <c r="AB21" s="205"/>
      <c r="AC21" s="205"/>
      <c r="AD21" s="205"/>
      <c r="AE21" s="205"/>
      <c r="AF21" s="205"/>
      <c r="AG21" s="205"/>
      <c r="AH21" s="205"/>
      <c r="AI21" s="205"/>
    </row>
    <row r="22" spans="2:35" ht="24.75" customHeight="1">
      <c r="B22" s="5"/>
      <c r="C22" s="13" t="s">
        <v>416</v>
      </c>
      <c r="D22" s="52">
        <f>'дод. 3'!E68</f>
        <v>777140</v>
      </c>
      <c r="E22" s="52">
        <f>'дод. 3'!F68</f>
        <v>777140</v>
      </c>
      <c r="F22" s="52">
        <f>'дод. 3'!G68</f>
        <v>637000</v>
      </c>
      <c r="G22" s="52">
        <f>'дод. 3'!H68</f>
        <v>0</v>
      </c>
      <c r="H22" s="52">
        <f>'дод. 3'!I68</f>
        <v>0</v>
      </c>
      <c r="I22" s="52">
        <f>'дод. 3'!J68</f>
        <v>0</v>
      </c>
      <c r="J22" s="52">
        <f>'дод. 3'!K68</f>
        <v>0</v>
      </c>
      <c r="K22" s="52">
        <f>'дод. 3'!L68</f>
        <v>0</v>
      </c>
      <c r="L22" s="52">
        <f>'дод. 3'!M68</f>
        <v>0</v>
      </c>
      <c r="M22" s="52">
        <f>'дод. 3'!N68</f>
        <v>0</v>
      </c>
      <c r="N22" s="52">
        <f>'дод. 3'!O68</f>
        <v>0</v>
      </c>
      <c r="O22" s="52">
        <f>'дод. 3'!P68</f>
        <v>777140</v>
      </c>
      <c r="P22" s="251"/>
      <c r="Q22" s="205"/>
      <c r="R22" s="205"/>
      <c r="S22" s="205"/>
      <c r="T22" s="205"/>
      <c r="U22" s="205"/>
      <c r="V22" s="205"/>
      <c r="W22" s="205"/>
      <c r="X22" s="205"/>
      <c r="Y22" s="205"/>
      <c r="Z22" s="205"/>
      <c r="AA22" s="205"/>
      <c r="AB22" s="205"/>
      <c r="AC22" s="205"/>
      <c r="AD22" s="205"/>
      <c r="AE22" s="205"/>
      <c r="AF22" s="205"/>
      <c r="AG22" s="205"/>
      <c r="AH22" s="205"/>
      <c r="AI22" s="205"/>
    </row>
    <row r="23" spans="1:35" ht="87" customHeight="1">
      <c r="A23" s="5" t="s">
        <v>89</v>
      </c>
      <c r="B23" s="5" t="s">
        <v>90</v>
      </c>
      <c r="C23" s="18" t="s">
        <v>182</v>
      </c>
      <c r="D23" s="52">
        <f>'дод. 3'!E69</f>
        <v>7458330</v>
      </c>
      <c r="E23" s="52">
        <f>'дод. 3'!F69</f>
        <v>7458330</v>
      </c>
      <c r="F23" s="52">
        <f>'дод. 3'!G69</f>
        <v>5205700</v>
      </c>
      <c r="G23" s="52">
        <f>'дод. 3'!H69</f>
        <v>615230</v>
      </c>
      <c r="H23" s="52">
        <f>'дод. 3'!I69</f>
        <v>0</v>
      </c>
      <c r="I23" s="52">
        <f>'дод. 3'!J69</f>
        <v>100000</v>
      </c>
      <c r="J23" s="52">
        <f>'дод. 3'!K69</f>
        <v>0</v>
      </c>
      <c r="K23" s="52">
        <f>'дод. 3'!L69</f>
        <v>0</v>
      </c>
      <c r="L23" s="52">
        <f>'дод. 3'!M69</f>
        <v>0</v>
      </c>
      <c r="M23" s="52">
        <f>'дод. 3'!N69</f>
        <v>100000</v>
      </c>
      <c r="N23" s="52">
        <f>'дод. 3'!O69</f>
        <v>100000</v>
      </c>
      <c r="O23" s="52">
        <f>'дод. 3'!P69</f>
        <v>7558330</v>
      </c>
      <c r="P23" s="251"/>
      <c r="Q23" s="205"/>
      <c r="R23" s="205"/>
      <c r="S23" s="205"/>
      <c r="T23" s="205"/>
      <c r="U23" s="205"/>
      <c r="V23" s="205"/>
      <c r="W23" s="205"/>
      <c r="X23" s="205"/>
      <c r="Y23" s="205"/>
      <c r="Z23" s="205"/>
      <c r="AA23" s="205"/>
      <c r="AB23" s="205"/>
      <c r="AC23" s="205"/>
      <c r="AD23" s="205"/>
      <c r="AE23" s="205"/>
      <c r="AF23" s="205"/>
      <c r="AG23" s="205"/>
      <c r="AH23" s="205"/>
      <c r="AI23" s="205"/>
    </row>
    <row r="24" spans="2:35" ht="21.75" customHeight="1">
      <c r="B24" s="5"/>
      <c r="C24" s="13" t="s">
        <v>416</v>
      </c>
      <c r="D24" s="52">
        <f>'дод. 3'!E70</f>
        <v>4957260</v>
      </c>
      <c r="E24" s="52">
        <f>'дод. 3'!F70</f>
        <v>4957260</v>
      </c>
      <c r="F24" s="52">
        <f>'дод. 3'!G70</f>
        <v>4070000</v>
      </c>
      <c r="G24" s="52">
        <f>'дод. 3'!H70</f>
        <v>0</v>
      </c>
      <c r="H24" s="52">
        <f>'дод. 3'!I70</f>
        <v>0</v>
      </c>
      <c r="I24" s="52">
        <f>'дод. 3'!J70</f>
        <v>0</v>
      </c>
      <c r="J24" s="52">
        <f>'дод. 3'!K70</f>
        <v>0</v>
      </c>
      <c r="K24" s="52">
        <f>'дод. 3'!L70</f>
        <v>0</v>
      </c>
      <c r="L24" s="52">
        <f>'дод. 3'!M70</f>
        <v>0</v>
      </c>
      <c r="M24" s="52">
        <f>'дод. 3'!N70</f>
        <v>0</v>
      </c>
      <c r="N24" s="52">
        <f>'дод. 3'!O70</f>
        <v>0</v>
      </c>
      <c r="O24" s="52">
        <f>'дод. 3'!P70</f>
        <v>4957260</v>
      </c>
      <c r="P24" s="251"/>
      <c r="Q24" s="205"/>
      <c r="R24" s="205"/>
      <c r="S24" s="205"/>
      <c r="T24" s="205"/>
      <c r="U24" s="205"/>
      <c r="V24" s="205"/>
      <c r="W24" s="205"/>
      <c r="X24" s="205"/>
      <c r="Y24" s="205"/>
      <c r="Z24" s="205"/>
      <c r="AA24" s="205"/>
      <c r="AB24" s="205"/>
      <c r="AC24" s="205"/>
      <c r="AD24" s="205"/>
      <c r="AE24" s="205"/>
      <c r="AF24" s="205"/>
      <c r="AG24" s="205"/>
      <c r="AH24" s="205"/>
      <c r="AI24" s="205"/>
    </row>
    <row r="25" spans="1:35" ht="33" customHeight="1">
      <c r="A25" s="5" t="s">
        <v>91</v>
      </c>
      <c r="B25" s="5" t="s">
        <v>92</v>
      </c>
      <c r="C25" s="18" t="s">
        <v>223</v>
      </c>
      <c r="D25" s="52">
        <f>'дод. 3'!E71</f>
        <v>21531690</v>
      </c>
      <c r="E25" s="52">
        <f>'дод. 3'!F71</f>
        <v>21531690</v>
      </c>
      <c r="F25" s="52">
        <f>'дод. 3'!G71</f>
        <v>15425500</v>
      </c>
      <c r="G25" s="52">
        <f>'дод. 3'!H71</f>
        <v>2331620</v>
      </c>
      <c r="H25" s="52">
        <f>'дод. 3'!I71</f>
        <v>0</v>
      </c>
      <c r="I25" s="52">
        <f>'дод. 3'!J71</f>
        <v>400000</v>
      </c>
      <c r="J25" s="52">
        <f>'дод. 3'!K71</f>
        <v>0</v>
      </c>
      <c r="K25" s="52">
        <f>'дод. 3'!L71</f>
        <v>0</v>
      </c>
      <c r="L25" s="52">
        <f>'дод. 3'!M71</f>
        <v>0</v>
      </c>
      <c r="M25" s="52">
        <f>'дод. 3'!N71</f>
        <v>400000</v>
      </c>
      <c r="N25" s="52">
        <f>'дод. 3'!O71</f>
        <v>400000</v>
      </c>
      <c r="O25" s="52">
        <f>'дод. 3'!P71</f>
        <v>21931690</v>
      </c>
      <c r="P25" s="251"/>
      <c r="Q25" s="205"/>
      <c r="R25" s="205"/>
      <c r="S25" s="205"/>
      <c r="T25" s="205"/>
      <c r="U25" s="205"/>
      <c r="V25" s="205"/>
      <c r="W25" s="205"/>
      <c r="X25" s="205"/>
      <c r="Y25" s="205"/>
      <c r="Z25" s="205"/>
      <c r="AA25" s="205"/>
      <c r="AB25" s="205"/>
      <c r="AC25" s="205"/>
      <c r="AD25" s="205"/>
      <c r="AE25" s="205"/>
      <c r="AF25" s="205"/>
      <c r="AG25" s="205"/>
      <c r="AH25" s="205"/>
      <c r="AI25" s="205"/>
    </row>
    <row r="26" spans="1:35" ht="57.75" customHeight="1">
      <c r="A26" s="5" t="s">
        <v>93</v>
      </c>
      <c r="B26" s="5" t="s">
        <v>92</v>
      </c>
      <c r="C26" s="18" t="s">
        <v>30</v>
      </c>
      <c r="D26" s="52">
        <f>'дод. 3'!E194</f>
        <v>29862268</v>
      </c>
      <c r="E26" s="52">
        <f>'дод. 3'!F194</f>
        <v>29862268</v>
      </c>
      <c r="F26" s="52">
        <f>'дод. 3'!G194</f>
        <v>23498774</v>
      </c>
      <c r="G26" s="52">
        <f>'дод. 3'!H194</f>
        <v>711900</v>
      </c>
      <c r="H26" s="52">
        <f>'дод. 3'!I194</f>
        <v>0</v>
      </c>
      <c r="I26" s="52">
        <f>'дод. 3'!J194</f>
        <v>2325850</v>
      </c>
      <c r="J26" s="52">
        <f>'дод. 3'!K194</f>
        <v>2108830</v>
      </c>
      <c r="K26" s="52">
        <f>'дод. 3'!L194</f>
        <v>1721450</v>
      </c>
      <c r="L26" s="52">
        <f>'дод. 3'!M194</f>
        <v>0</v>
      </c>
      <c r="M26" s="52">
        <f>'дод. 3'!N194</f>
        <v>217020</v>
      </c>
      <c r="N26" s="52">
        <f>'дод. 3'!O194</f>
        <v>212300</v>
      </c>
      <c r="O26" s="52">
        <f>'дод. 3'!P194</f>
        <v>32188118</v>
      </c>
      <c r="P26" s="251"/>
      <c r="Q26" s="205"/>
      <c r="R26" s="205"/>
      <c r="S26" s="205"/>
      <c r="T26" s="205"/>
      <c r="U26" s="205"/>
      <c r="V26" s="205"/>
      <c r="W26" s="205"/>
      <c r="X26" s="205"/>
      <c r="Y26" s="205"/>
      <c r="Z26" s="205"/>
      <c r="AA26" s="205"/>
      <c r="AB26" s="205"/>
      <c r="AC26" s="205"/>
      <c r="AD26" s="205"/>
      <c r="AE26" s="205"/>
      <c r="AF26" s="205"/>
      <c r="AG26" s="205"/>
      <c r="AH26" s="205"/>
      <c r="AI26" s="205"/>
    </row>
    <row r="27" spans="1:35" ht="39.75" customHeight="1">
      <c r="A27" s="5" t="s">
        <v>352</v>
      </c>
      <c r="B27" s="5" t="s">
        <v>94</v>
      </c>
      <c r="C27" s="18" t="s">
        <v>183</v>
      </c>
      <c r="D27" s="52">
        <f>'дод. 3'!E72</f>
        <v>93735900</v>
      </c>
      <c r="E27" s="52">
        <f>'дод. 3'!F72</f>
        <v>93735900</v>
      </c>
      <c r="F27" s="52">
        <f>'дод. 3'!G72</f>
        <v>52999200</v>
      </c>
      <c r="G27" s="52">
        <f>'дод. 3'!H72</f>
        <v>9089100</v>
      </c>
      <c r="H27" s="52">
        <f>'дод. 3'!I72</f>
        <v>0</v>
      </c>
      <c r="I27" s="52">
        <f>'дод. 3'!J72</f>
        <v>6708970</v>
      </c>
      <c r="J27" s="52">
        <f>'дод. 3'!K72</f>
        <v>6514270</v>
      </c>
      <c r="K27" s="52">
        <f>'дод. 3'!L72</f>
        <v>2053494</v>
      </c>
      <c r="L27" s="52">
        <f>'дод. 3'!M72</f>
        <v>2334410</v>
      </c>
      <c r="M27" s="52">
        <f>'дод. 3'!N72</f>
        <v>194700</v>
      </c>
      <c r="N27" s="52">
        <f>'дод. 3'!O72</f>
        <v>0</v>
      </c>
      <c r="O27" s="52">
        <f>'дод. 3'!P72</f>
        <v>100444870</v>
      </c>
      <c r="P27" s="251"/>
      <c r="Q27" s="205"/>
      <c r="R27" s="205"/>
      <c r="S27" s="205"/>
      <c r="T27" s="205"/>
      <c r="U27" s="205"/>
      <c r="V27" s="205"/>
      <c r="W27" s="205"/>
      <c r="X27" s="205"/>
      <c r="Y27" s="205"/>
      <c r="Z27" s="205"/>
      <c r="AA27" s="205"/>
      <c r="AB27" s="205"/>
      <c r="AC27" s="205"/>
      <c r="AD27" s="205"/>
      <c r="AE27" s="205"/>
      <c r="AF27" s="205"/>
      <c r="AG27" s="205"/>
      <c r="AH27" s="205"/>
      <c r="AI27" s="205"/>
    </row>
    <row r="28" spans="2:35" ht="21" customHeight="1">
      <c r="B28" s="5"/>
      <c r="C28" s="13" t="s">
        <v>416</v>
      </c>
      <c r="D28" s="52">
        <f>'дод. 3'!E73</f>
        <v>9182000</v>
      </c>
      <c r="E28" s="52">
        <f>'дод. 3'!F73</f>
        <v>9182000</v>
      </c>
      <c r="F28" s="52">
        <f>'дод. 3'!G73</f>
        <v>7526000</v>
      </c>
      <c r="G28" s="52">
        <f>'дод. 3'!H73</f>
        <v>0</v>
      </c>
      <c r="H28" s="52">
        <f>'дод. 3'!I73</f>
        <v>0</v>
      </c>
      <c r="I28" s="52">
        <f>'дод. 3'!J73</f>
        <v>0</v>
      </c>
      <c r="J28" s="52">
        <f>'дод. 3'!K73</f>
        <v>0</v>
      </c>
      <c r="K28" s="52">
        <f>'дод. 3'!L73</f>
        <v>0</v>
      </c>
      <c r="L28" s="52">
        <f>'дод. 3'!M73</f>
        <v>0</v>
      </c>
      <c r="M28" s="52">
        <f>'дод. 3'!N73</f>
        <v>0</v>
      </c>
      <c r="N28" s="52">
        <f>'дод. 3'!O73</f>
        <v>0</v>
      </c>
      <c r="O28" s="52">
        <f>'дод. 3'!P73</f>
        <v>9182000</v>
      </c>
      <c r="P28" s="251"/>
      <c r="Q28" s="205"/>
      <c r="R28" s="205"/>
      <c r="S28" s="205"/>
      <c r="T28" s="205"/>
      <c r="U28" s="205"/>
      <c r="V28" s="205"/>
      <c r="W28" s="205"/>
      <c r="X28" s="205"/>
      <c r="Y28" s="205"/>
      <c r="Z28" s="205"/>
      <c r="AA28" s="205"/>
      <c r="AB28" s="205"/>
      <c r="AC28" s="205"/>
      <c r="AD28" s="205"/>
      <c r="AE28" s="205"/>
      <c r="AF28" s="205"/>
      <c r="AG28" s="205"/>
      <c r="AH28" s="205"/>
      <c r="AI28" s="205"/>
    </row>
    <row r="29" spans="1:35" ht="33" customHeight="1">
      <c r="A29" s="5" t="s">
        <v>184</v>
      </c>
      <c r="B29" s="5" t="s">
        <v>95</v>
      </c>
      <c r="C29" s="18" t="s">
        <v>585</v>
      </c>
      <c r="D29" s="52">
        <f>'дод. 3'!E74</f>
        <v>3118910</v>
      </c>
      <c r="E29" s="52">
        <f>'дод. 3'!F74</f>
        <v>3118910</v>
      </c>
      <c r="F29" s="52">
        <f>'дод. 3'!G74</f>
        <v>2440000</v>
      </c>
      <c r="G29" s="52">
        <f>'дод. 3'!H74</f>
        <v>103210</v>
      </c>
      <c r="H29" s="52">
        <f>'дод. 3'!I74</f>
        <v>0</v>
      </c>
      <c r="I29" s="52">
        <f>'дод. 3'!J74</f>
        <v>0</v>
      </c>
      <c r="J29" s="52">
        <f>'дод. 3'!K74</f>
        <v>0</v>
      </c>
      <c r="K29" s="52">
        <f>'дод. 3'!L74</f>
        <v>0</v>
      </c>
      <c r="L29" s="52">
        <f>'дод. 3'!M74</f>
        <v>0</v>
      </c>
      <c r="M29" s="52">
        <f>'дод. 3'!N74</f>
        <v>0</v>
      </c>
      <c r="N29" s="52">
        <f>'дод. 3'!O74</f>
        <v>0</v>
      </c>
      <c r="O29" s="52">
        <f>'дод. 3'!P74</f>
        <v>3118910</v>
      </c>
      <c r="P29" s="251"/>
      <c r="Q29" s="205"/>
      <c r="R29" s="205"/>
      <c r="S29" s="205"/>
      <c r="T29" s="205"/>
      <c r="U29" s="205"/>
      <c r="V29" s="205"/>
      <c r="W29" s="205"/>
      <c r="X29" s="205"/>
      <c r="Y29" s="205"/>
      <c r="Z29" s="205"/>
      <c r="AA29" s="205"/>
      <c r="AB29" s="205"/>
      <c r="AC29" s="205"/>
      <c r="AD29" s="205"/>
      <c r="AE29" s="205"/>
      <c r="AF29" s="205"/>
      <c r="AG29" s="205"/>
      <c r="AH29" s="205"/>
      <c r="AI29" s="205"/>
    </row>
    <row r="30" spans="1:35" ht="25.5" customHeight="1">
      <c r="A30" s="5" t="s">
        <v>358</v>
      </c>
      <c r="B30" s="5"/>
      <c r="C30" s="18" t="s">
        <v>356</v>
      </c>
      <c r="D30" s="52">
        <f>D31+D32</f>
        <v>6788000</v>
      </c>
      <c r="E30" s="52">
        <f aca="true" t="shared" si="3" ref="E30:O30">E31+E32</f>
        <v>6788000</v>
      </c>
      <c r="F30" s="52">
        <f t="shared" si="3"/>
        <v>4797600</v>
      </c>
      <c r="G30" s="52">
        <f t="shared" si="3"/>
        <v>460470</v>
      </c>
      <c r="H30" s="52">
        <f t="shared" si="3"/>
        <v>0</v>
      </c>
      <c r="I30" s="52">
        <f t="shared" si="3"/>
        <v>180000</v>
      </c>
      <c r="J30" s="52">
        <f t="shared" si="3"/>
        <v>0</v>
      </c>
      <c r="K30" s="52">
        <f t="shared" si="3"/>
        <v>0</v>
      </c>
      <c r="L30" s="52">
        <f t="shared" si="3"/>
        <v>0</v>
      </c>
      <c r="M30" s="52">
        <f t="shared" si="3"/>
        <v>180000</v>
      </c>
      <c r="N30" s="52">
        <f t="shared" si="3"/>
        <v>180000</v>
      </c>
      <c r="O30" s="52">
        <f t="shared" si="3"/>
        <v>6968000</v>
      </c>
      <c r="P30" s="251"/>
      <c r="Q30" s="205"/>
      <c r="R30" s="205"/>
      <c r="S30" s="205"/>
      <c r="T30" s="205"/>
      <c r="U30" s="205"/>
      <c r="V30" s="205"/>
      <c r="W30" s="205"/>
      <c r="X30" s="205"/>
      <c r="Y30" s="205"/>
      <c r="Z30" s="205"/>
      <c r="AA30" s="205"/>
      <c r="AB30" s="205"/>
      <c r="AC30" s="205"/>
      <c r="AD30" s="205"/>
      <c r="AE30" s="205"/>
      <c r="AF30" s="205"/>
      <c r="AG30" s="205"/>
      <c r="AH30" s="205"/>
      <c r="AI30" s="205"/>
    </row>
    <row r="31" spans="1:35" s="8" customFormat="1" ht="36" customHeight="1">
      <c r="A31" s="7" t="s">
        <v>444</v>
      </c>
      <c r="B31" s="7" t="s">
        <v>95</v>
      </c>
      <c r="C31" s="41" t="s">
        <v>446</v>
      </c>
      <c r="D31" s="53">
        <f>'дод. 3'!E76</f>
        <v>6712200</v>
      </c>
      <c r="E31" s="53">
        <f>'дод. 3'!F76</f>
        <v>6712200</v>
      </c>
      <c r="F31" s="53">
        <f>'дод. 3'!G76</f>
        <v>4797600</v>
      </c>
      <c r="G31" s="53">
        <f>'дод. 3'!H76</f>
        <v>460470</v>
      </c>
      <c r="H31" s="53">
        <f>'дод. 3'!I76</f>
        <v>0</v>
      </c>
      <c r="I31" s="53">
        <f>'дод. 3'!J76</f>
        <v>180000</v>
      </c>
      <c r="J31" s="53">
        <f>'дод. 3'!K76</f>
        <v>0</v>
      </c>
      <c r="K31" s="53">
        <f>'дод. 3'!L76</f>
        <v>0</v>
      </c>
      <c r="L31" s="53">
        <f>'дод. 3'!M76</f>
        <v>0</v>
      </c>
      <c r="M31" s="53">
        <f>'дод. 3'!N76</f>
        <v>180000</v>
      </c>
      <c r="N31" s="53">
        <f>'дод. 3'!O76</f>
        <v>180000</v>
      </c>
      <c r="O31" s="53">
        <f>'дод. 3'!P76</f>
        <v>6892200</v>
      </c>
      <c r="P31" s="251"/>
      <c r="Q31" s="207"/>
      <c r="R31" s="207"/>
      <c r="S31" s="207"/>
      <c r="T31" s="207"/>
      <c r="U31" s="207"/>
      <c r="V31" s="207"/>
      <c r="W31" s="207"/>
      <c r="X31" s="207"/>
      <c r="Y31" s="207"/>
      <c r="Z31" s="207"/>
      <c r="AA31" s="207"/>
      <c r="AB31" s="207"/>
      <c r="AC31" s="207"/>
      <c r="AD31" s="207"/>
      <c r="AE31" s="207"/>
      <c r="AF31" s="207"/>
      <c r="AG31" s="207"/>
      <c r="AH31" s="207"/>
      <c r="AI31" s="207"/>
    </row>
    <row r="32" spans="1:35" s="8" customFormat="1" ht="25.5" customHeight="1">
      <c r="A32" s="7" t="s">
        <v>445</v>
      </c>
      <c r="B32" s="7" t="s">
        <v>95</v>
      </c>
      <c r="C32" s="41" t="s">
        <v>447</v>
      </c>
      <c r="D32" s="53">
        <f>'дод. 3'!E77</f>
        <v>75800</v>
      </c>
      <c r="E32" s="53">
        <f>'дод. 3'!F77</f>
        <v>75800</v>
      </c>
      <c r="F32" s="53">
        <f>'дод. 3'!G77</f>
        <v>0</v>
      </c>
      <c r="G32" s="53">
        <f>'дод. 3'!H77</f>
        <v>0</v>
      </c>
      <c r="H32" s="53">
        <f>'дод. 3'!I77</f>
        <v>0</v>
      </c>
      <c r="I32" s="53">
        <f>'дод. 3'!J77</f>
        <v>0</v>
      </c>
      <c r="J32" s="53">
        <f>'дод. 3'!K77</f>
        <v>0</v>
      </c>
      <c r="K32" s="53">
        <f>'дод. 3'!L77</f>
        <v>0</v>
      </c>
      <c r="L32" s="53">
        <f>'дод. 3'!M77</f>
        <v>0</v>
      </c>
      <c r="M32" s="53">
        <f>'дод. 3'!N77</f>
        <v>0</v>
      </c>
      <c r="N32" s="53">
        <f>'дод. 3'!O77</f>
        <v>0</v>
      </c>
      <c r="O32" s="53">
        <f>'дод. 3'!P77</f>
        <v>75800</v>
      </c>
      <c r="P32" s="251"/>
      <c r="Q32" s="207"/>
      <c r="R32" s="207"/>
      <c r="S32" s="207"/>
      <c r="T32" s="207"/>
      <c r="U32" s="207"/>
      <c r="V32" s="207"/>
      <c r="W32" s="207"/>
      <c r="X32" s="207"/>
      <c r="Y32" s="207"/>
      <c r="Z32" s="207"/>
      <c r="AA32" s="207"/>
      <c r="AB32" s="207"/>
      <c r="AC32" s="207"/>
      <c r="AD32" s="207"/>
      <c r="AE32" s="207"/>
      <c r="AF32" s="207"/>
      <c r="AG32" s="207"/>
      <c r="AH32" s="207"/>
      <c r="AI32" s="207"/>
    </row>
    <row r="33" spans="1:35" s="22" customFormat="1" ht="23.25" customHeight="1">
      <c r="A33" s="23" t="s">
        <v>96</v>
      </c>
      <c r="B33" s="35"/>
      <c r="C33" s="40" t="s">
        <v>97</v>
      </c>
      <c r="D33" s="56">
        <f>D35+D37+D39+D41+D43+D49+D55</f>
        <v>323002700</v>
      </c>
      <c r="E33" s="56">
        <f aca="true" t="shared" si="4" ref="E33:O33">E35+E37+E39+E41+E43+E49+E55</f>
        <v>323002700</v>
      </c>
      <c r="F33" s="56">
        <f t="shared" si="4"/>
        <v>0</v>
      </c>
      <c r="G33" s="56">
        <f t="shared" si="4"/>
        <v>0</v>
      </c>
      <c r="H33" s="56">
        <f t="shared" si="4"/>
        <v>0</v>
      </c>
      <c r="I33" s="56">
        <f t="shared" si="4"/>
        <v>37333749</v>
      </c>
      <c r="J33" s="56">
        <f t="shared" si="4"/>
        <v>16983749</v>
      </c>
      <c r="K33" s="56">
        <f t="shared" si="4"/>
        <v>0</v>
      </c>
      <c r="L33" s="56">
        <f t="shared" si="4"/>
        <v>0</v>
      </c>
      <c r="M33" s="56">
        <f t="shared" si="4"/>
        <v>20350000</v>
      </c>
      <c r="N33" s="56">
        <f t="shared" si="4"/>
        <v>20350000</v>
      </c>
      <c r="O33" s="56">
        <f t="shared" si="4"/>
        <v>360336449</v>
      </c>
      <c r="P33" s="251"/>
      <c r="Q33" s="204"/>
      <c r="R33" s="204"/>
      <c r="S33" s="204"/>
      <c r="T33" s="204"/>
      <c r="U33" s="204"/>
      <c r="V33" s="204"/>
      <c r="W33" s="204"/>
      <c r="X33" s="204"/>
      <c r="Y33" s="204"/>
      <c r="Z33" s="204"/>
      <c r="AA33" s="204"/>
      <c r="AB33" s="204"/>
      <c r="AC33" s="204"/>
      <c r="AD33" s="204"/>
      <c r="AE33" s="204"/>
      <c r="AF33" s="204"/>
      <c r="AG33" s="204"/>
      <c r="AH33" s="204"/>
      <c r="AI33" s="204"/>
    </row>
    <row r="34" spans="1:35" s="22" customFormat="1" ht="23.25" customHeight="1">
      <c r="A34" s="23"/>
      <c r="B34" s="35"/>
      <c r="C34" s="11" t="s">
        <v>416</v>
      </c>
      <c r="D34" s="56">
        <f aca="true" t="shared" si="5" ref="D34:O34">D36+D38+D40+D42+D44+D56+D50</f>
        <v>239920600</v>
      </c>
      <c r="E34" s="56">
        <f t="shared" si="5"/>
        <v>239920600</v>
      </c>
      <c r="F34" s="56">
        <f t="shared" si="5"/>
        <v>0</v>
      </c>
      <c r="G34" s="56">
        <f t="shared" si="5"/>
        <v>0</v>
      </c>
      <c r="H34" s="56">
        <f t="shared" si="5"/>
        <v>0</v>
      </c>
      <c r="I34" s="56">
        <f t="shared" si="5"/>
        <v>0</v>
      </c>
      <c r="J34" s="56">
        <f t="shared" si="5"/>
        <v>0</v>
      </c>
      <c r="K34" s="56">
        <f t="shared" si="5"/>
        <v>0</v>
      </c>
      <c r="L34" s="56">
        <f t="shared" si="5"/>
        <v>0</v>
      </c>
      <c r="M34" s="56">
        <f t="shared" si="5"/>
        <v>0</v>
      </c>
      <c r="N34" s="56">
        <f t="shared" si="5"/>
        <v>0</v>
      </c>
      <c r="O34" s="56">
        <f t="shared" si="5"/>
        <v>239920600</v>
      </c>
      <c r="P34" s="251"/>
      <c r="Q34" s="206"/>
      <c r="R34" s="206"/>
      <c r="S34" s="206"/>
      <c r="T34" s="206"/>
      <c r="U34" s="206"/>
      <c r="V34" s="206"/>
      <c r="W34" s="206"/>
      <c r="X34" s="206"/>
      <c r="Y34" s="206"/>
      <c r="Z34" s="206"/>
      <c r="AA34" s="206"/>
      <c r="AB34" s="206"/>
      <c r="AC34" s="206"/>
      <c r="AD34" s="206"/>
      <c r="AE34" s="206"/>
      <c r="AF34" s="206"/>
      <c r="AG34" s="206"/>
      <c r="AH34" s="206"/>
      <c r="AI34" s="206"/>
    </row>
    <row r="35" spans="1:35" ht="31.5">
      <c r="A35" s="5" t="s">
        <v>98</v>
      </c>
      <c r="B35" s="5" t="s">
        <v>99</v>
      </c>
      <c r="C35" s="18" t="s">
        <v>53</v>
      </c>
      <c r="D35" s="52">
        <f>'дод. 3'!E89</f>
        <v>227372854</v>
      </c>
      <c r="E35" s="52">
        <f>'дод. 3'!F89</f>
        <v>227372854</v>
      </c>
      <c r="F35" s="52">
        <f>'дод. 3'!G89</f>
        <v>0</v>
      </c>
      <c r="G35" s="52">
        <f>'дод. 3'!H89</f>
        <v>0</v>
      </c>
      <c r="H35" s="52">
        <f>'дод. 3'!I89</f>
        <v>0</v>
      </c>
      <c r="I35" s="52">
        <f>'дод. 3'!J89</f>
        <v>31668360</v>
      </c>
      <c r="J35" s="52">
        <f>'дод. 3'!K89</f>
        <v>11318360</v>
      </c>
      <c r="K35" s="52">
        <f>'дод. 3'!L89</f>
        <v>0</v>
      </c>
      <c r="L35" s="52">
        <f>'дод. 3'!M89</f>
        <v>0</v>
      </c>
      <c r="M35" s="52">
        <f>'дод. 3'!N89</f>
        <v>20350000</v>
      </c>
      <c r="N35" s="52">
        <f>'дод. 3'!O89</f>
        <v>20350000</v>
      </c>
      <c r="O35" s="52">
        <f>'дод. 3'!P89</f>
        <v>259041214</v>
      </c>
      <c r="P35" s="251"/>
      <c r="Q35" s="205"/>
      <c r="R35" s="205"/>
      <c r="S35" s="205"/>
      <c r="T35" s="205"/>
      <c r="U35" s="205"/>
      <c r="V35" s="205"/>
      <c r="W35" s="205"/>
      <c r="X35" s="205"/>
      <c r="Y35" s="205"/>
      <c r="Z35" s="205"/>
      <c r="AA35" s="205"/>
      <c r="AB35" s="205"/>
      <c r="AC35" s="205"/>
      <c r="AD35" s="205"/>
      <c r="AE35" s="205"/>
      <c r="AF35" s="205"/>
      <c r="AG35" s="205"/>
      <c r="AH35" s="205"/>
      <c r="AI35" s="205"/>
    </row>
    <row r="36" spans="2:35" ht="15.75" customHeight="1">
      <c r="B36" s="5"/>
      <c r="C36" s="13" t="s">
        <v>416</v>
      </c>
      <c r="D36" s="52">
        <f>'дод. 3'!E90</f>
        <v>156832009</v>
      </c>
      <c r="E36" s="52">
        <f>'дод. 3'!F90</f>
        <v>156832009</v>
      </c>
      <c r="F36" s="52">
        <f>'дод. 3'!G90</f>
        <v>0</v>
      </c>
      <c r="G36" s="52">
        <f>'дод. 3'!H90</f>
        <v>0</v>
      </c>
      <c r="H36" s="52">
        <f>'дод. 3'!I90</f>
        <v>0</v>
      </c>
      <c r="I36" s="52">
        <f>'дод. 3'!J90</f>
        <v>0</v>
      </c>
      <c r="J36" s="52">
        <f>'дод. 3'!K90</f>
        <v>0</v>
      </c>
      <c r="K36" s="52">
        <f>'дод. 3'!L90</f>
        <v>0</v>
      </c>
      <c r="L36" s="52">
        <f>'дод. 3'!M90</f>
        <v>0</v>
      </c>
      <c r="M36" s="52">
        <f>'дод. 3'!N90</f>
        <v>0</v>
      </c>
      <c r="N36" s="52">
        <f>'дод. 3'!O90</f>
        <v>0</v>
      </c>
      <c r="O36" s="52">
        <f>'дод. 3'!P90</f>
        <v>156832009</v>
      </c>
      <c r="P36" s="251"/>
      <c r="Q36" s="205"/>
      <c r="R36" s="205"/>
      <c r="S36" s="205"/>
      <c r="T36" s="205"/>
      <c r="U36" s="205"/>
      <c r="V36" s="205"/>
      <c r="W36" s="205"/>
      <c r="X36" s="205"/>
      <c r="Y36" s="205"/>
      <c r="Z36" s="205"/>
      <c r="AA36" s="205"/>
      <c r="AB36" s="205"/>
      <c r="AC36" s="205"/>
      <c r="AD36" s="205"/>
      <c r="AE36" s="205"/>
      <c r="AF36" s="205"/>
      <c r="AG36" s="205"/>
      <c r="AH36" s="205"/>
      <c r="AI36" s="205"/>
    </row>
    <row r="37" spans="1:35" ht="42.75" customHeight="1">
      <c r="A37" s="5" t="s">
        <v>185</v>
      </c>
      <c r="B37" s="5" t="s">
        <v>100</v>
      </c>
      <c r="C37" s="18" t="s">
        <v>186</v>
      </c>
      <c r="D37" s="52">
        <f>'дод. 3'!E91</f>
        <v>34579826</v>
      </c>
      <c r="E37" s="52">
        <f>'дод. 3'!F91</f>
        <v>34579826</v>
      </c>
      <c r="F37" s="52">
        <f>'дод. 3'!G91</f>
        <v>0</v>
      </c>
      <c r="G37" s="52">
        <f>'дод. 3'!H91</f>
        <v>0</v>
      </c>
      <c r="H37" s="52">
        <f>'дод. 3'!I91</f>
        <v>0</v>
      </c>
      <c r="I37" s="52">
        <f>'дод. 3'!J91</f>
        <v>27300</v>
      </c>
      <c r="J37" s="52">
        <f>'дод. 3'!K91</f>
        <v>27300</v>
      </c>
      <c r="K37" s="52">
        <f>'дод. 3'!L91</f>
        <v>0</v>
      </c>
      <c r="L37" s="52">
        <f>'дод. 3'!M91</f>
        <v>0</v>
      </c>
      <c r="M37" s="52">
        <f>'дод. 3'!N91</f>
        <v>0</v>
      </c>
      <c r="N37" s="52">
        <f>'дод. 3'!O91</f>
        <v>0</v>
      </c>
      <c r="O37" s="52">
        <f>'дод. 3'!P91</f>
        <v>34607126</v>
      </c>
      <c r="P37" s="251"/>
      <c r="Q37" s="205"/>
      <c r="R37" s="205"/>
      <c r="S37" s="205"/>
      <c r="T37" s="205"/>
      <c r="U37" s="205"/>
      <c r="V37" s="205"/>
      <c r="W37" s="205"/>
      <c r="X37" s="205"/>
      <c r="Y37" s="205"/>
      <c r="Z37" s="205"/>
      <c r="AA37" s="205"/>
      <c r="AB37" s="205"/>
      <c r="AC37" s="205"/>
      <c r="AD37" s="205"/>
      <c r="AE37" s="205"/>
      <c r="AF37" s="205"/>
      <c r="AG37" s="205"/>
      <c r="AH37" s="205"/>
      <c r="AI37" s="205"/>
    </row>
    <row r="38" spans="2:35" ht="24" customHeight="1">
      <c r="B38" s="5"/>
      <c r="C38" s="13" t="s">
        <v>416</v>
      </c>
      <c r="D38" s="52">
        <f>'дод. 3'!E92</f>
        <v>24119993</v>
      </c>
      <c r="E38" s="52">
        <f>'дод. 3'!F92</f>
        <v>24119993</v>
      </c>
      <c r="F38" s="52">
        <f>'дод. 3'!G92</f>
        <v>0</v>
      </c>
      <c r="G38" s="52">
        <f>'дод. 3'!H92</f>
        <v>0</v>
      </c>
      <c r="H38" s="52">
        <f>'дод. 3'!I92</f>
        <v>0</v>
      </c>
      <c r="I38" s="52">
        <f>'дод. 3'!J92</f>
        <v>0</v>
      </c>
      <c r="J38" s="52">
        <f>'дод. 3'!K92</f>
        <v>0</v>
      </c>
      <c r="K38" s="52">
        <f>'дод. 3'!L92</f>
        <v>0</v>
      </c>
      <c r="L38" s="52">
        <f>'дод. 3'!M92</f>
        <v>0</v>
      </c>
      <c r="M38" s="52">
        <f>'дод. 3'!N92</f>
        <v>0</v>
      </c>
      <c r="N38" s="52">
        <f>'дод. 3'!O92</f>
        <v>0</v>
      </c>
      <c r="O38" s="52">
        <f>'дод. 3'!P92</f>
        <v>24119993</v>
      </c>
      <c r="P38" s="264">
        <v>25</v>
      </c>
      <c r="Q38" s="205"/>
      <c r="R38" s="205"/>
      <c r="S38" s="205"/>
      <c r="T38" s="205"/>
      <c r="U38" s="205"/>
      <c r="V38" s="205"/>
      <c r="W38" s="205"/>
      <c r="X38" s="205"/>
      <c r="Y38" s="205"/>
      <c r="Z38" s="205"/>
      <c r="AA38" s="205"/>
      <c r="AB38" s="205"/>
      <c r="AC38" s="205"/>
      <c r="AD38" s="205"/>
      <c r="AE38" s="205"/>
      <c r="AF38" s="205"/>
      <c r="AG38" s="205"/>
      <c r="AH38" s="205"/>
      <c r="AI38" s="205"/>
    </row>
    <row r="39" spans="1:35" ht="33" customHeight="1">
      <c r="A39" s="5" t="s">
        <v>187</v>
      </c>
      <c r="B39" s="5" t="s">
        <v>101</v>
      </c>
      <c r="C39" s="18" t="s">
        <v>497</v>
      </c>
      <c r="D39" s="52">
        <f>'дод. 3'!E93</f>
        <v>1039928</v>
      </c>
      <c r="E39" s="52">
        <f>'дод. 3'!F93</f>
        <v>1039928</v>
      </c>
      <c r="F39" s="52">
        <f>'дод. 3'!G93</f>
        <v>0</v>
      </c>
      <c r="G39" s="52">
        <f>'дод. 3'!H93</f>
        <v>0</v>
      </c>
      <c r="H39" s="52">
        <f>'дод. 3'!I93</f>
        <v>0</v>
      </c>
      <c r="I39" s="52">
        <f>'дод. 3'!J93</f>
        <v>412100</v>
      </c>
      <c r="J39" s="52">
        <f>'дод. 3'!K93</f>
        <v>412100</v>
      </c>
      <c r="K39" s="52">
        <f>'дод. 3'!L93</f>
        <v>0</v>
      </c>
      <c r="L39" s="52">
        <f>'дод. 3'!M93</f>
        <v>0</v>
      </c>
      <c r="M39" s="52">
        <f>'дод. 3'!N93</f>
        <v>0</v>
      </c>
      <c r="N39" s="52">
        <f>'дод. 3'!O93</f>
        <v>0</v>
      </c>
      <c r="O39" s="52">
        <f>'дод. 3'!P93</f>
        <v>1452028</v>
      </c>
      <c r="P39" s="264"/>
      <c r="Q39" s="205"/>
      <c r="R39" s="205"/>
      <c r="S39" s="205"/>
      <c r="T39" s="205"/>
      <c r="U39" s="205"/>
      <c r="V39" s="205"/>
      <c r="W39" s="205"/>
      <c r="X39" s="205"/>
      <c r="Y39" s="205"/>
      <c r="Z39" s="205"/>
      <c r="AA39" s="205"/>
      <c r="AB39" s="205"/>
      <c r="AC39" s="205"/>
      <c r="AD39" s="205"/>
      <c r="AE39" s="205"/>
      <c r="AF39" s="205"/>
      <c r="AG39" s="205"/>
      <c r="AH39" s="205"/>
      <c r="AI39" s="205"/>
    </row>
    <row r="40" spans="2:35" ht="27" customHeight="1">
      <c r="B40" s="5"/>
      <c r="C40" s="13" t="s">
        <v>416</v>
      </c>
      <c r="D40" s="52">
        <f>'дод. 3'!E94</f>
        <v>925907</v>
      </c>
      <c r="E40" s="52">
        <f>'дод. 3'!F94</f>
        <v>925907</v>
      </c>
      <c r="F40" s="52">
        <f>'дод. 3'!G94</f>
        <v>0</v>
      </c>
      <c r="G40" s="52">
        <f>'дод. 3'!H94</f>
        <v>0</v>
      </c>
      <c r="H40" s="52">
        <f>'дод. 3'!I94</f>
        <v>0</v>
      </c>
      <c r="I40" s="52">
        <f>'дод. 3'!J94</f>
        <v>0</v>
      </c>
      <c r="J40" s="52">
        <f>'дод. 3'!K94</f>
        <v>0</v>
      </c>
      <c r="K40" s="52">
        <f>'дод. 3'!L94</f>
        <v>0</v>
      </c>
      <c r="L40" s="52">
        <f>'дод. 3'!M94</f>
        <v>0</v>
      </c>
      <c r="M40" s="52">
        <f>'дод. 3'!N94</f>
        <v>0</v>
      </c>
      <c r="N40" s="52">
        <f>'дод. 3'!O94</f>
        <v>0</v>
      </c>
      <c r="O40" s="52">
        <f>'дод. 3'!P94</f>
        <v>925907</v>
      </c>
      <c r="P40" s="264"/>
      <c r="Q40" s="205"/>
      <c r="R40" s="205"/>
      <c r="S40" s="205"/>
      <c r="T40" s="205"/>
      <c r="U40" s="205"/>
      <c r="V40" s="205"/>
      <c r="W40" s="205"/>
      <c r="X40" s="205"/>
      <c r="Y40" s="205"/>
      <c r="Z40" s="205"/>
      <c r="AA40" s="205"/>
      <c r="AB40" s="205"/>
      <c r="AC40" s="205"/>
      <c r="AD40" s="205"/>
      <c r="AE40" s="205"/>
      <c r="AF40" s="205"/>
      <c r="AG40" s="205"/>
      <c r="AH40" s="205"/>
      <c r="AI40" s="205"/>
    </row>
    <row r="41" spans="1:35" ht="25.5" customHeight="1">
      <c r="A41" s="5" t="s">
        <v>188</v>
      </c>
      <c r="B41" s="5" t="s">
        <v>102</v>
      </c>
      <c r="C41" s="18" t="s">
        <v>189</v>
      </c>
      <c r="D41" s="52">
        <f>'дод. 3'!E95</f>
        <v>5454842</v>
      </c>
      <c r="E41" s="52">
        <f>'дод. 3'!F95</f>
        <v>5454842</v>
      </c>
      <c r="F41" s="52">
        <f>'дод. 3'!G95</f>
        <v>0</v>
      </c>
      <c r="G41" s="52">
        <f>'дод. 3'!H95</f>
        <v>0</v>
      </c>
      <c r="H41" s="52">
        <f>'дод. 3'!I95</f>
        <v>0</v>
      </c>
      <c r="I41" s="52">
        <f>'дод. 3'!J95</f>
        <v>5058989</v>
      </c>
      <c r="J41" s="52">
        <f>'дод. 3'!K95</f>
        <v>5058989</v>
      </c>
      <c r="K41" s="52">
        <f>'дод. 3'!L95</f>
        <v>0</v>
      </c>
      <c r="L41" s="52">
        <f>'дод. 3'!M95</f>
        <v>0</v>
      </c>
      <c r="M41" s="52">
        <f>'дод. 3'!N95</f>
        <v>0</v>
      </c>
      <c r="N41" s="52">
        <f>'дод. 3'!O95</f>
        <v>0</v>
      </c>
      <c r="O41" s="52">
        <f>'дод. 3'!P95</f>
        <v>10513831</v>
      </c>
      <c r="P41" s="264"/>
      <c r="Q41" s="205"/>
      <c r="R41" s="205"/>
      <c r="S41" s="205"/>
      <c r="T41" s="205"/>
      <c r="U41" s="205"/>
      <c r="V41" s="205"/>
      <c r="W41" s="205"/>
      <c r="X41" s="205"/>
      <c r="Y41" s="205"/>
      <c r="Z41" s="205"/>
      <c r="AA41" s="205"/>
      <c r="AB41" s="205"/>
      <c r="AC41" s="205"/>
      <c r="AD41" s="205"/>
      <c r="AE41" s="205"/>
      <c r="AF41" s="205"/>
      <c r="AG41" s="205"/>
      <c r="AH41" s="205"/>
      <c r="AI41" s="205"/>
    </row>
    <row r="42" spans="2:35" ht="25.5" customHeight="1">
      <c r="B42" s="5"/>
      <c r="C42" s="13" t="s">
        <v>416</v>
      </c>
      <c r="D42" s="52">
        <f>'дод. 3'!E96</f>
        <v>4325025</v>
      </c>
      <c r="E42" s="52">
        <f>'дод. 3'!F96</f>
        <v>4325025</v>
      </c>
      <c r="F42" s="52">
        <f>'дод. 3'!G96</f>
        <v>0</v>
      </c>
      <c r="G42" s="52">
        <f>'дод. 3'!H96</f>
        <v>0</v>
      </c>
      <c r="H42" s="52">
        <f>'дод. 3'!I96</f>
        <v>0</v>
      </c>
      <c r="I42" s="52">
        <f>'дод. 3'!J96</f>
        <v>0</v>
      </c>
      <c r="J42" s="52">
        <f>'дод. 3'!K96</f>
        <v>0</v>
      </c>
      <c r="K42" s="52">
        <f>'дод. 3'!L96</f>
        <v>0</v>
      </c>
      <c r="L42" s="52">
        <f>'дод. 3'!M96</f>
        <v>0</v>
      </c>
      <c r="M42" s="52">
        <f>'дод. 3'!N96</f>
        <v>0</v>
      </c>
      <c r="N42" s="52">
        <f>'дод. 3'!O96</f>
        <v>0</v>
      </c>
      <c r="O42" s="52">
        <f>'дод. 3'!P96</f>
        <v>4325025</v>
      </c>
      <c r="P42" s="264"/>
      <c r="Q42" s="205"/>
      <c r="R42" s="205"/>
      <c r="S42" s="205"/>
      <c r="T42" s="205"/>
      <c r="U42" s="205"/>
      <c r="V42" s="205"/>
      <c r="W42" s="205"/>
      <c r="X42" s="205"/>
      <c r="Y42" s="205"/>
      <c r="Z42" s="205"/>
      <c r="AA42" s="205"/>
      <c r="AB42" s="205"/>
      <c r="AC42" s="205"/>
      <c r="AD42" s="205"/>
      <c r="AE42" s="205"/>
      <c r="AF42" s="205"/>
      <c r="AG42" s="205"/>
      <c r="AH42" s="205"/>
      <c r="AI42" s="205"/>
    </row>
    <row r="43" spans="1:35" ht="22.5" customHeight="1">
      <c r="A43" s="5" t="s">
        <v>190</v>
      </c>
      <c r="B43" s="5"/>
      <c r="C43" s="42" t="s">
        <v>498</v>
      </c>
      <c r="D43" s="52">
        <f>D45+D47</f>
        <v>36578306</v>
      </c>
      <c r="E43" s="52">
        <f aca="true" t="shared" si="6" ref="E43:O43">E45+E47</f>
        <v>36578306</v>
      </c>
      <c r="F43" s="52">
        <f t="shared" si="6"/>
        <v>0</v>
      </c>
      <c r="G43" s="52">
        <f t="shared" si="6"/>
        <v>0</v>
      </c>
      <c r="H43" s="52">
        <f t="shared" si="6"/>
        <v>0</v>
      </c>
      <c r="I43" s="52">
        <f t="shared" si="6"/>
        <v>167000</v>
      </c>
      <c r="J43" s="52">
        <f t="shared" si="6"/>
        <v>167000</v>
      </c>
      <c r="K43" s="52">
        <f t="shared" si="6"/>
        <v>0</v>
      </c>
      <c r="L43" s="52">
        <f t="shared" si="6"/>
        <v>0</v>
      </c>
      <c r="M43" s="52">
        <f t="shared" si="6"/>
        <v>0</v>
      </c>
      <c r="N43" s="52">
        <f t="shared" si="6"/>
        <v>0</v>
      </c>
      <c r="O43" s="52">
        <f t="shared" si="6"/>
        <v>36745306</v>
      </c>
      <c r="P43" s="264"/>
      <c r="Q43" s="205"/>
      <c r="R43" s="205"/>
      <c r="S43" s="205"/>
      <c r="T43" s="205"/>
      <c r="U43" s="205"/>
      <c r="V43" s="205"/>
      <c r="W43" s="205"/>
      <c r="X43" s="205"/>
      <c r="Y43" s="205"/>
      <c r="Z43" s="205"/>
      <c r="AA43" s="205"/>
      <c r="AB43" s="205"/>
      <c r="AC43" s="205"/>
      <c r="AD43" s="205"/>
      <c r="AE43" s="205"/>
      <c r="AF43" s="205"/>
      <c r="AG43" s="205"/>
      <c r="AH43" s="205"/>
      <c r="AI43" s="205"/>
    </row>
    <row r="44" spans="2:35" ht="22.5" customHeight="1">
      <c r="B44" s="5"/>
      <c r="C44" s="13" t="s">
        <v>416</v>
      </c>
      <c r="D44" s="52">
        <f>D46+D48</f>
        <v>35777500</v>
      </c>
      <c r="E44" s="52">
        <f aca="true" t="shared" si="7" ref="E44:O44">E46+E48</f>
        <v>35777500</v>
      </c>
      <c r="F44" s="52">
        <f t="shared" si="7"/>
        <v>0</v>
      </c>
      <c r="G44" s="52">
        <f t="shared" si="7"/>
        <v>0</v>
      </c>
      <c r="H44" s="52">
        <f t="shared" si="7"/>
        <v>0</v>
      </c>
      <c r="I44" s="52">
        <f t="shared" si="7"/>
        <v>0</v>
      </c>
      <c r="J44" s="52">
        <f t="shared" si="7"/>
        <v>0</v>
      </c>
      <c r="K44" s="52">
        <f t="shared" si="7"/>
        <v>0</v>
      </c>
      <c r="L44" s="52">
        <f t="shared" si="7"/>
        <v>0</v>
      </c>
      <c r="M44" s="52">
        <f t="shared" si="7"/>
        <v>0</v>
      </c>
      <c r="N44" s="52">
        <f t="shared" si="7"/>
        <v>0</v>
      </c>
      <c r="O44" s="52">
        <f t="shared" si="7"/>
        <v>35777500</v>
      </c>
      <c r="P44" s="264"/>
      <c r="Q44" s="205"/>
      <c r="R44" s="205"/>
      <c r="S44" s="205"/>
      <c r="T44" s="205"/>
      <c r="U44" s="205"/>
      <c r="V44" s="205"/>
      <c r="W44" s="205"/>
      <c r="X44" s="205"/>
      <c r="Y44" s="205"/>
      <c r="Z44" s="205"/>
      <c r="AA44" s="205"/>
      <c r="AB44" s="205"/>
      <c r="AC44" s="205"/>
      <c r="AD44" s="205"/>
      <c r="AE44" s="205"/>
      <c r="AF44" s="205"/>
      <c r="AG44" s="205"/>
      <c r="AH44" s="205"/>
      <c r="AI44" s="205"/>
    </row>
    <row r="45" spans="1:35" s="8" customFormat="1" ht="54" customHeight="1">
      <c r="A45" s="7" t="s">
        <v>191</v>
      </c>
      <c r="B45" s="7" t="s">
        <v>499</v>
      </c>
      <c r="C45" s="41" t="s">
        <v>192</v>
      </c>
      <c r="D45" s="53">
        <f>'дод. 3'!E99</f>
        <v>8672485</v>
      </c>
      <c r="E45" s="53">
        <f>'дод. 3'!F99</f>
        <v>8672485</v>
      </c>
      <c r="F45" s="53">
        <f>'дод. 3'!G99</f>
        <v>0</v>
      </c>
      <c r="G45" s="53">
        <f>'дод. 3'!H99</f>
        <v>0</v>
      </c>
      <c r="H45" s="53">
        <f>'дод. 3'!I99</f>
        <v>0</v>
      </c>
      <c r="I45" s="53">
        <f>'дод. 3'!J99</f>
        <v>167000</v>
      </c>
      <c r="J45" s="53">
        <f>'дод. 3'!K99</f>
        <v>167000</v>
      </c>
      <c r="K45" s="53">
        <f>'дод. 3'!L99</f>
        <v>0</v>
      </c>
      <c r="L45" s="53">
        <f>'дод. 3'!M99</f>
        <v>0</v>
      </c>
      <c r="M45" s="53">
        <f>'дод. 3'!N99</f>
        <v>0</v>
      </c>
      <c r="N45" s="53">
        <f>'дод. 3'!O99</f>
        <v>0</v>
      </c>
      <c r="O45" s="53">
        <f>'дод. 3'!P99</f>
        <v>8839485</v>
      </c>
      <c r="P45" s="264"/>
      <c r="Q45" s="207"/>
      <c r="R45" s="207"/>
      <c r="S45" s="207"/>
      <c r="T45" s="207"/>
      <c r="U45" s="207"/>
      <c r="V45" s="207"/>
      <c r="W45" s="207"/>
      <c r="X45" s="207"/>
      <c r="Y45" s="207"/>
      <c r="Z45" s="207"/>
      <c r="AA45" s="207"/>
      <c r="AB45" s="207"/>
      <c r="AC45" s="207"/>
      <c r="AD45" s="207"/>
      <c r="AE45" s="207"/>
      <c r="AF45" s="207"/>
      <c r="AG45" s="207"/>
      <c r="AH45" s="207"/>
      <c r="AI45" s="207"/>
    </row>
    <row r="46" spans="1:35" s="8" customFormat="1" ht="21.75" customHeight="1">
      <c r="A46" s="7"/>
      <c r="B46" s="7"/>
      <c r="C46" s="14" t="s">
        <v>416</v>
      </c>
      <c r="D46" s="53">
        <f>'дод. 3'!E100</f>
        <v>7871679</v>
      </c>
      <c r="E46" s="53">
        <f>'дод. 3'!F100</f>
        <v>7871679</v>
      </c>
      <c r="F46" s="53">
        <f>'дод. 3'!G100</f>
        <v>0</v>
      </c>
      <c r="G46" s="53">
        <f>'дод. 3'!H100</f>
        <v>0</v>
      </c>
      <c r="H46" s="53">
        <f>'дод. 3'!I100</f>
        <v>0</v>
      </c>
      <c r="I46" s="53">
        <f>'дод. 3'!J100</f>
        <v>0</v>
      </c>
      <c r="J46" s="53">
        <f>'дод. 3'!K100</f>
        <v>0</v>
      </c>
      <c r="K46" s="53">
        <f>'дод. 3'!L100</f>
        <v>0</v>
      </c>
      <c r="L46" s="53">
        <f>'дод. 3'!M100</f>
        <v>0</v>
      </c>
      <c r="M46" s="53">
        <f>'дод. 3'!N100</f>
        <v>0</v>
      </c>
      <c r="N46" s="53">
        <f>'дод. 3'!O100</f>
        <v>0</v>
      </c>
      <c r="O46" s="53">
        <f>'дод. 3'!P100</f>
        <v>7871679</v>
      </c>
      <c r="P46" s="264"/>
      <c r="Q46" s="207"/>
      <c r="R46" s="207"/>
      <c r="S46" s="207"/>
      <c r="T46" s="207"/>
      <c r="U46" s="207"/>
      <c r="V46" s="207"/>
      <c r="W46" s="207"/>
      <c r="X46" s="207"/>
      <c r="Y46" s="207"/>
      <c r="Z46" s="207"/>
      <c r="AA46" s="207"/>
      <c r="AB46" s="207"/>
      <c r="AC46" s="207"/>
      <c r="AD46" s="207"/>
      <c r="AE46" s="207"/>
      <c r="AF46" s="207"/>
      <c r="AG46" s="207"/>
      <c r="AH46" s="207"/>
      <c r="AI46" s="207"/>
    </row>
    <row r="47" spans="1:35" s="8" customFormat="1" ht="52.5" customHeight="1">
      <c r="A47" s="7" t="s">
        <v>588</v>
      </c>
      <c r="B47" s="7" t="s">
        <v>101</v>
      </c>
      <c r="C47" s="41" t="s">
        <v>586</v>
      </c>
      <c r="D47" s="53">
        <f>'дод. 3'!E101</f>
        <v>27905821</v>
      </c>
      <c r="E47" s="53">
        <f>'дод. 3'!F101</f>
        <v>27905821</v>
      </c>
      <c r="F47" s="53">
        <f>'дод. 3'!G101</f>
        <v>0</v>
      </c>
      <c r="G47" s="53">
        <f>'дод. 3'!H101</f>
        <v>0</v>
      </c>
      <c r="H47" s="53">
        <f>'дод. 3'!I101</f>
        <v>0</v>
      </c>
      <c r="I47" s="53">
        <f>'дод. 3'!J101</f>
        <v>0</v>
      </c>
      <c r="J47" s="53">
        <f>'дод. 3'!K101</f>
        <v>0</v>
      </c>
      <c r="K47" s="53">
        <f>'дод. 3'!L101</f>
        <v>0</v>
      </c>
      <c r="L47" s="53">
        <f>'дод. 3'!M101</f>
        <v>0</v>
      </c>
      <c r="M47" s="53">
        <f>'дод. 3'!N101</f>
        <v>0</v>
      </c>
      <c r="N47" s="53">
        <f>'дод. 3'!O101</f>
        <v>0</v>
      </c>
      <c r="O47" s="53">
        <f>'дод. 3'!P101</f>
        <v>27905821</v>
      </c>
      <c r="P47" s="264"/>
      <c r="Q47" s="207"/>
      <c r="R47" s="207"/>
      <c r="S47" s="207"/>
      <c r="T47" s="207"/>
      <c r="U47" s="207"/>
      <c r="V47" s="207"/>
      <c r="W47" s="207"/>
      <c r="X47" s="207"/>
      <c r="Y47" s="207"/>
      <c r="Z47" s="207"/>
      <c r="AA47" s="207"/>
      <c r="AB47" s="207"/>
      <c r="AC47" s="207"/>
      <c r="AD47" s="207"/>
      <c r="AE47" s="207"/>
      <c r="AF47" s="207"/>
      <c r="AG47" s="207"/>
      <c r="AH47" s="207"/>
      <c r="AI47" s="207"/>
    </row>
    <row r="48" spans="1:35" s="8" customFormat="1" ht="21.75" customHeight="1">
      <c r="A48" s="7"/>
      <c r="B48" s="7"/>
      <c r="C48" s="14" t="s">
        <v>416</v>
      </c>
      <c r="D48" s="53">
        <f>'дод. 3'!E102</f>
        <v>27905821</v>
      </c>
      <c r="E48" s="53">
        <f>'дод. 3'!F102</f>
        <v>27905821</v>
      </c>
      <c r="F48" s="53">
        <f>'дод. 3'!G102</f>
        <v>0</v>
      </c>
      <c r="G48" s="53">
        <f>'дод. 3'!H102</f>
        <v>0</v>
      </c>
      <c r="H48" s="53">
        <f>'дод. 3'!I102</f>
        <v>0</v>
      </c>
      <c r="I48" s="53">
        <f>'дод. 3'!J102</f>
        <v>0</v>
      </c>
      <c r="J48" s="53">
        <f>'дод. 3'!K102</f>
        <v>0</v>
      </c>
      <c r="K48" s="53">
        <f>'дод. 3'!L102</f>
        <v>0</v>
      </c>
      <c r="L48" s="53">
        <f>'дод. 3'!M102</f>
        <v>0</v>
      </c>
      <c r="M48" s="53">
        <f>'дод. 3'!N102</f>
        <v>0</v>
      </c>
      <c r="N48" s="53">
        <f>'дод. 3'!O102</f>
        <v>0</v>
      </c>
      <c r="O48" s="53">
        <f>'дод. 3'!P102</f>
        <v>27905821</v>
      </c>
      <c r="P48" s="264"/>
      <c r="Q48" s="207"/>
      <c r="R48" s="207"/>
      <c r="S48" s="207"/>
      <c r="T48" s="207"/>
      <c r="U48" s="207"/>
      <c r="V48" s="207"/>
      <c r="W48" s="207"/>
      <c r="X48" s="207"/>
      <c r="Y48" s="207"/>
      <c r="Z48" s="207"/>
      <c r="AA48" s="207"/>
      <c r="AB48" s="207"/>
      <c r="AC48" s="207"/>
      <c r="AD48" s="207"/>
      <c r="AE48" s="207"/>
      <c r="AF48" s="207"/>
      <c r="AG48" s="207"/>
      <c r="AH48" s="207"/>
      <c r="AI48" s="207"/>
    </row>
    <row r="49" spans="1:35" ht="40.5" customHeight="1">
      <c r="A49" s="25">
        <v>2140</v>
      </c>
      <c r="B49" s="25"/>
      <c r="C49" s="42" t="s">
        <v>167</v>
      </c>
      <c r="D49" s="52">
        <f aca="true" t="shared" si="8" ref="D49:O49">D51+D53</f>
        <v>14043000</v>
      </c>
      <c r="E49" s="52">
        <f t="shared" si="8"/>
        <v>14043000</v>
      </c>
      <c r="F49" s="52">
        <f t="shared" si="8"/>
        <v>0</v>
      </c>
      <c r="G49" s="52">
        <f t="shared" si="8"/>
        <v>0</v>
      </c>
      <c r="H49" s="52">
        <f t="shared" si="8"/>
        <v>0</v>
      </c>
      <c r="I49" s="52">
        <f t="shared" si="8"/>
        <v>0</v>
      </c>
      <c r="J49" s="52">
        <f t="shared" si="8"/>
        <v>0</v>
      </c>
      <c r="K49" s="52">
        <f t="shared" si="8"/>
        <v>0</v>
      </c>
      <c r="L49" s="52">
        <f t="shared" si="8"/>
        <v>0</v>
      </c>
      <c r="M49" s="52">
        <f t="shared" si="8"/>
        <v>0</v>
      </c>
      <c r="N49" s="52">
        <f t="shared" si="8"/>
        <v>0</v>
      </c>
      <c r="O49" s="52">
        <f t="shared" si="8"/>
        <v>14043000</v>
      </c>
      <c r="P49" s="264"/>
      <c r="Q49" s="208"/>
      <c r="R49" s="208"/>
      <c r="S49" s="208"/>
      <c r="T49" s="208"/>
      <c r="U49" s="208"/>
      <c r="V49" s="208"/>
      <c r="W49" s="208"/>
      <c r="X49" s="208"/>
      <c r="Y49" s="208"/>
      <c r="Z49" s="208"/>
      <c r="AA49" s="208"/>
      <c r="AB49" s="208"/>
      <c r="AC49" s="208"/>
      <c r="AD49" s="208"/>
      <c r="AE49" s="208"/>
      <c r="AF49" s="208"/>
      <c r="AG49" s="208"/>
      <c r="AH49" s="208"/>
      <c r="AI49" s="208"/>
    </row>
    <row r="50" spans="1:35" ht="22.5" customHeight="1">
      <c r="A50" s="25"/>
      <c r="B50" s="25"/>
      <c r="C50" s="13" t="s">
        <v>416</v>
      </c>
      <c r="D50" s="52">
        <f aca="true" t="shared" si="9" ref="D50:O50">D51+D54</f>
        <v>14043000</v>
      </c>
      <c r="E50" s="52">
        <f t="shared" si="9"/>
        <v>14043000</v>
      </c>
      <c r="F50" s="52">
        <f t="shared" si="9"/>
        <v>0</v>
      </c>
      <c r="G50" s="52">
        <f t="shared" si="9"/>
        <v>0</v>
      </c>
      <c r="H50" s="52">
        <f t="shared" si="9"/>
        <v>0</v>
      </c>
      <c r="I50" s="52">
        <f t="shared" si="9"/>
        <v>0</v>
      </c>
      <c r="J50" s="52">
        <f t="shared" si="9"/>
        <v>0</v>
      </c>
      <c r="K50" s="52">
        <f t="shared" si="9"/>
        <v>0</v>
      </c>
      <c r="L50" s="52">
        <f t="shared" si="9"/>
        <v>0</v>
      </c>
      <c r="M50" s="52">
        <f t="shared" si="9"/>
        <v>0</v>
      </c>
      <c r="N50" s="52">
        <f t="shared" si="9"/>
        <v>0</v>
      </c>
      <c r="O50" s="52">
        <f t="shared" si="9"/>
        <v>14043000</v>
      </c>
      <c r="P50" s="264"/>
      <c r="Q50" s="208"/>
      <c r="R50" s="208"/>
      <c r="S50" s="208"/>
      <c r="T50" s="208"/>
      <c r="U50" s="208"/>
      <c r="V50" s="208"/>
      <c r="W50" s="208"/>
      <c r="X50" s="208"/>
      <c r="Y50" s="208"/>
      <c r="Z50" s="208"/>
      <c r="AA50" s="208"/>
      <c r="AB50" s="208"/>
      <c r="AC50" s="208"/>
      <c r="AD50" s="208"/>
      <c r="AE50" s="208"/>
      <c r="AF50" s="208"/>
      <c r="AG50" s="208"/>
      <c r="AH50" s="208"/>
      <c r="AI50" s="208"/>
    </row>
    <row r="51" spans="1:35" s="8" customFormat="1" ht="36.75" customHeight="1">
      <c r="A51" s="26">
        <v>2144</v>
      </c>
      <c r="B51" s="7" t="s">
        <v>103</v>
      </c>
      <c r="C51" s="46" t="s">
        <v>193</v>
      </c>
      <c r="D51" s="53">
        <f>'дод. 3'!E105</f>
        <v>7131500</v>
      </c>
      <c r="E51" s="53">
        <f>'дод. 3'!F105</f>
        <v>7131500</v>
      </c>
      <c r="F51" s="53">
        <f>'дод. 3'!G105</f>
        <v>0</v>
      </c>
      <c r="G51" s="53">
        <f>'дод. 3'!H105</f>
        <v>0</v>
      </c>
      <c r="H51" s="53">
        <f>'дод. 3'!I105</f>
        <v>0</v>
      </c>
      <c r="I51" s="53">
        <f>'дод. 3'!J105</f>
        <v>0</v>
      </c>
      <c r="J51" s="53">
        <f>'дод. 3'!K105</f>
        <v>0</v>
      </c>
      <c r="K51" s="53">
        <f>'дод. 3'!L105</f>
        <v>0</v>
      </c>
      <c r="L51" s="53">
        <f>'дод. 3'!M105</f>
        <v>0</v>
      </c>
      <c r="M51" s="53">
        <f>'дод. 3'!N105</f>
        <v>0</v>
      </c>
      <c r="N51" s="53">
        <f>'дод. 3'!O105</f>
        <v>0</v>
      </c>
      <c r="O51" s="53">
        <f>'дод. 3'!P105</f>
        <v>7131500</v>
      </c>
      <c r="P51" s="264"/>
      <c r="Q51" s="209"/>
      <c r="R51" s="209"/>
      <c r="S51" s="209"/>
      <c r="T51" s="209"/>
      <c r="U51" s="209"/>
      <c r="V51" s="209"/>
      <c r="W51" s="209"/>
      <c r="X51" s="209"/>
      <c r="Y51" s="209"/>
      <c r="Z51" s="209"/>
      <c r="AA51" s="209"/>
      <c r="AB51" s="209"/>
      <c r="AC51" s="209"/>
      <c r="AD51" s="209"/>
      <c r="AE51" s="209"/>
      <c r="AF51" s="209"/>
      <c r="AG51" s="209"/>
      <c r="AH51" s="209"/>
      <c r="AI51" s="209"/>
    </row>
    <row r="52" spans="1:35" s="8" customFormat="1" ht="24.75" customHeight="1">
      <c r="A52" s="26"/>
      <c r="B52" s="7"/>
      <c r="C52" s="14" t="s">
        <v>416</v>
      </c>
      <c r="D52" s="53">
        <f>'дод. 3'!E106</f>
        <v>7131500</v>
      </c>
      <c r="E52" s="53">
        <f>'дод. 3'!F106</f>
        <v>7131500</v>
      </c>
      <c r="F52" s="53">
        <f>'дод. 3'!G106</f>
        <v>0</v>
      </c>
      <c r="G52" s="53">
        <f>'дод. 3'!H106</f>
        <v>0</v>
      </c>
      <c r="H52" s="53">
        <f>'дод. 3'!I106</f>
        <v>0</v>
      </c>
      <c r="I52" s="53">
        <f>'дод. 3'!J106</f>
        <v>0</v>
      </c>
      <c r="J52" s="53">
        <f>'дод. 3'!K106</f>
        <v>0</v>
      </c>
      <c r="K52" s="53">
        <f>'дод. 3'!L106</f>
        <v>0</v>
      </c>
      <c r="L52" s="53">
        <f>'дод. 3'!M106</f>
        <v>0</v>
      </c>
      <c r="M52" s="53">
        <f>'дод. 3'!N106</f>
        <v>0</v>
      </c>
      <c r="N52" s="53">
        <f>'дод. 3'!O106</f>
        <v>0</v>
      </c>
      <c r="O52" s="53">
        <f>'дод. 3'!P106</f>
        <v>7131500</v>
      </c>
      <c r="P52" s="264"/>
      <c r="Q52" s="209"/>
      <c r="R52" s="209"/>
      <c r="S52" s="209"/>
      <c r="T52" s="209"/>
      <c r="U52" s="209"/>
      <c r="V52" s="209"/>
      <c r="W52" s="209"/>
      <c r="X52" s="209"/>
      <c r="Y52" s="209"/>
      <c r="Z52" s="209"/>
      <c r="AA52" s="209"/>
      <c r="AB52" s="209"/>
      <c r="AC52" s="209"/>
      <c r="AD52" s="209"/>
      <c r="AE52" s="209"/>
      <c r="AF52" s="209"/>
      <c r="AG52" s="209"/>
      <c r="AH52" s="209"/>
      <c r="AI52" s="209"/>
    </row>
    <row r="53" spans="1:35" s="8" customFormat="1" ht="32.25" customHeight="1">
      <c r="A53" s="26">
        <v>2146</v>
      </c>
      <c r="B53" s="7" t="s">
        <v>103</v>
      </c>
      <c r="C53" s="46" t="s">
        <v>515</v>
      </c>
      <c r="D53" s="53">
        <f>'дод. 3'!E107</f>
        <v>6911500</v>
      </c>
      <c r="E53" s="53">
        <f>'дод. 3'!F107</f>
        <v>6911500</v>
      </c>
      <c r="F53" s="53">
        <f>'дод. 3'!G107</f>
        <v>0</v>
      </c>
      <c r="G53" s="53">
        <f>'дод. 3'!H107</f>
        <v>0</v>
      </c>
      <c r="H53" s="53">
        <f>'дод. 3'!I107</f>
        <v>0</v>
      </c>
      <c r="I53" s="53">
        <f>'дод. 3'!J107</f>
        <v>0</v>
      </c>
      <c r="J53" s="53">
        <f>'дод. 3'!K107</f>
        <v>0</v>
      </c>
      <c r="K53" s="53">
        <f>'дод. 3'!L107</f>
        <v>0</v>
      </c>
      <c r="L53" s="53">
        <f>'дод. 3'!M107</f>
        <v>0</v>
      </c>
      <c r="M53" s="53">
        <f>'дод. 3'!N107</f>
        <v>0</v>
      </c>
      <c r="N53" s="53">
        <f>'дод. 3'!O107</f>
        <v>0</v>
      </c>
      <c r="O53" s="53">
        <f>'дод. 3'!P107</f>
        <v>6911500</v>
      </c>
      <c r="P53" s="264"/>
      <c r="Q53" s="209"/>
      <c r="R53" s="209"/>
      <c r="S53" s="209"/>
      <c r="T53" s="209"/>
      <c r="U53" s="209"/>
      <c r="V53" s="209"/>
      <c r="W53" s="209"/>
      <c r="X53" s="209"/>
      <c r="Y53" s="209"/>
      <c r="Z53" s="209"/>
      <c r="AA53" s="209"/>
      <c r="AB53" s="209"/>
      <c r="AC53" s="209"/>
      <c r="AD53" s="209"/>
      <c r="AE53" s="209"/>
      <c r="AF53" s="209"/>
      <c r="AG53" s="209"/>
      <c r="AH53" s="209"/>
      <c r="AI53" s="209"/>
    </row>
    <row r="54" spans="1:35" s="8" customFormat="1" ht="24.75" customHeight="1">
      <c r="A54" s="26"/>
      <c r="B54" s="7"/>
      <c r="C54" s="14" t="s">
        <v>416</v>
      </c>
      <c r="D54" s="53">
        <f>'дод. 3'!E108</f>
        <v>6911500</v>
      </c>
      <c r="E54" s="53">
        <f>'дод. 3'!F108</f>
        <v>6911500</v>
      </c>
      <c r="F54" s="53">
        <f>'дод. 3'!G108</f>
        <v>0</v>
      </c>
      <c r="G54" s="53">
        <f>'дод. 3'!H108</f>
        <v>0</v>
      </c>
      <c r="H54" s="53">
        <f>'дод. 3'!I108</f>
        <v>0</v>
      </c>
      <c r="I54" s="53">
        <f>'дод. 3'!J108</f>
        <v>0</v>
      </c>
      <c r="J54" s="53">
        <f>'дод. 3'!K108</f>
        <v>0</v>
      </c>
      <c r="K54" s="53">
        <f>'дод. 3'!L108</f>
        <v>0</v>
      </c>
      <c r="L54" s="53">
        <f>'дод. 3'!M108</f>
        <v>0</v>
      </c>
      <c r="M54" s="53">
        <f>'дод. 3'!N108</f>
        <v>0</v>
      </c>
      <c r="N54" s="53">
        <f>'дод. 3'!O108</f>
        <v>0</v>
      </c>
      <c r="O54" s="53">
        <f>'дод. 3'!P108</f>
        <v>6911500</v>
      </c>
      <c r="P54" s="264"/>
      <c r="Q54" s="209"/>
      <c r="R54" s="209"/>
      <c r="S54" s="209"/>
      <c r="T54" s="209"/>
      <c r="U54" s="209"/>
      <c r="V54" s="209"/>
      <c r="W54" s="209"/>
      <c r="X54" s="209"/>
      <c r="Y54" s="209"/>
      <c r="Z54" s="209"/>
      <c r="AA54" s="209"/>
      <c r="AB54" s="209"/>
      <c r="AC54" s="209"/>
      <c r="AD54" s="209"/>
      <c r="AE54" s="209"/>
      <c r="AF54" s="209"/>
      <c r="AG54" s="209"/>
      <c r="AH54" s="209"/>
      <c r="AI54" s="209"/>
    </row>
    <row r="55" spans="1:35" ht="35.25" customHeight="1">
      <c r="A55" s="5" t="s">
        <v>194</v>
      </c>
      <c r="B55" s="5"/>
      <c r="C55" s="18" t="s">
        <v>359</v>
      </c>
      <c r="D55" s="52">
        <f>D57+D59</f>
        <v>3933944</v>
      </c>
      <c r="E55" s="52">
        <f aca="true" t="shared" si="10" ref="E55:O55">E57+E59</f>
        <v>3933944</v>
      </c>
      <c r="F55" s="52">
        <f t="shared" si="10"/>
        <v>0</v>
      </c>
      <c r="G55" s="52">
        <f t="shared" si="10"/>
        <v>0</v>
      </c>
      <c r="H55" s="52">
        <f t="shared" si="10"/>
        <v>0</v>
      </c>
      <c r="I55" s="52">
        <f t="shared" si="10"/>
        <v>0</v>
      </c>
      <c r="J55" s="52">
        <f t="shared" si="10"/>
        <v>0</v>
      </c>
      <c r="K55" s="52">
        <f t="shared" si="10"/>
        <v>0</v>
      </c>
      <c r="L55" s="52">
        <f t="shared" si="10"/>
        <v>0</v>
      </c>
      <c r="M55" s="52">
        <f t="shared" si="10"/>
        <v>0</v>
      </c>
      <c r="N55" s="52">
        <f t="shared" si="10"/>
        <v>0</v>
      </c>
      <c r="O55" s="52">
        <f t="shared" si="10"/>
        <v>3933944</v>
      </c>
      <c r="P55" s="264"/>
      <c r="Q55" s="205"/>
      <c r="R55" s="205"/>
      <c r="S55" s="205"/>
      <c r="T55" s="205"/>
      <c r="U55" s="205"/>
      <c r="V55" s="205"/>
      <c r="W55" s="205"/>
      <c r="X55" s="205"/>
      <c r="Y55" s="205"/>
      <c r="Z55" s="205"/>
      <c r="AA55" s="205"/>
      <c r="AB55" s="205"/>
      <c r="AC55" s="205"/>
      <c r="AD55" s="205"/>
      <c r="AE55" s="205"/>
      <c r="AF55" s="205"/>
      <c r="AG55" s="205"/>
      <c r="AH55" s="205"/>
      <c r="AI55" s="205"/>
    </row>
    <row r="56" spans="2:35" ht="21.75" customHeight="1">
      <c r="B56" s="5"/>
      <c r="C56" s="13" t="s">
        <v>416</v>
      </c>
      <c r="D56" s="52">
        <f>D58+D60</f>
        <v>3897166</v>
      </c>
      <c r="E56" s="52">
        <f aca="true" t="shared" si="11" ref="E56:O56">E58+E60</f>
        <v>3897166</v>
      </c>
      <c r="F56" s="52">
        <f t="shared" si="11"/>
        <v>0</v>
      </c>
      <c r="G56" s="52">
        <f t="shared" si="11"/>
        <v>0</v>
      </c>
      <c r="H56" s="52">
        <f t="shared" si="11"/>
        <v>0</v>
      </c>
      <c r="I56" s="52">
        <f t="shared" si="11"/>
        <v>0</v>
      </c>
      <c r="J56" s="52">
        <f t="shared" si="11"/>
        <v>0</v>
      </c>
      <c r="K56" s="52">
        <f t="shared" si="11"/>
        <v>0</v>
      </c>
      <c r="L56" s="52">
        <f t="shared" si="11"/>
        <v>0</v>
      </c>
      <c r="M56" s="52">
        <f t="shared" si="11"/>
        <v>0</v>
      </c>
      <c r="N56" s="52">
        <f t="shared" si="11"/>
        <v>0</v>
      </c>
      <c r="O56" s="52">
        <f t="shared" si="11"/>
        <v>3897166</v>
      </c>
      <c r="P56" s="264"/>
      <c r="Q56" s="205"/>
      <c r="R56" s="205"/>
      <c r="S56" s="205"/>
      <c r="T56" s="205"/>
      <c r="U56" s="205"/>
      <c r="V56" s="205"/>
      <c r="W56" s="205"/>
      <c r="X56" s="205"/>
      <c r="Y56" s="205"/>
      <c r="Z56" s="205"/>
      <c r="AA56" s="205"/>
      <c r="AB56" s="205"/>
      <c r="AC56" s="205"/>
      <c r="AD56" s="205"/>
      <c r="AE56" s="205"/>
      <c r="AF56" s="205"/>
      <c r="AG56" s="205"/>
      <c r="AH56" s="205"/>
      <c r="AI56" s="205"/>
    </row>
    <row r="57" spans="1:35" s="8" customFormat="1" ht="37.5" customHeight="1">
      <c r="A57" s="7" t="s">
        <v>448</v>
      </c>
      <c r="B57" s="7" t="s">
        <v>103</v>
      </c>
      <c r="C57" s="14" t="s">
        <v>450</v>
      </c>
      <c r="D57" s="53">
        <f>'дод. 3'!E111</f>
        <v>1975455</v>
      </c>
      <c r="E57" s="53">
        <f>'дод. 3'!F111</f>
        <v>1975455</v>
      </c>
      <c r="F57" s="53">
        <f>'дод. 3'!G111</f>
        <v>0</v>
      </c>
      <c r="G57" s="53">
        <f>'дод. 3'!H111</f>
        <v>0</v>
      </c>
      <c r="H57" s="53">
        <f>'дод. 3'!I111</f>
        <v>0</v>
      </c>
      <c r="I57" s="53">
        <f>'дод. 3'!J111</f>
        <v>0</v>
      </c>
      <c r="J57" s="53">
        <f>'дод. 3'!K111</f>
        <v>0</v>
      </c>
      <c r="K57" s="53">
        <f>'дод. 3'!L111</f>
        <v>0</v>
      </c>
      <c r="L57" s="53">
        <f>'дод. 3'!M111</f>
        <v>0</v>
      </c>
      <c r="M57" s="53">
        <f>'дод. 3'!N111</f>
        <v>0</v>
      </c>
      <c r="N57" s="53">
        <f>'дод. 3'!O111</f>
        <v>0</v>
      </c>
      <c r="O57" s="53">
        <f>'дод. 3'!P111</f>
        <v>1975455</v>
      </c>
      <c r="P57" s="264"/>
      <c r="Q57" s="207"/>
      <c r="R57" s="207"/>
      <c r="S57" s="207"/>
      <c r="T57" s="207"/>
      <c r="U57" s="207"/>
      <c r="V57" s="207"/>
      <c r="W57" s="207"/>
      <c r="X57" s="207"/>
      <c r="Y57" s="207"/>
      <c r="Z57" s="207"/>
      <c r="AA57" s="207"/>
      <c r="AB57" s="207"/>
      <c r="AC57" s="207"/>
      <c r="AD57" s="207"/>
      <c r="AE57" s="207"/>
      <c r="AF57" s="207"/>
      <c r="AG57" s="207"/>
      <c r="AH57" s="207"/>
      <c r="AI57" s="207"/>
    </row>
    <row r="58" spans="1:35" s="8" customFormat="1" ht="21.75" customHeight="1">
      <c r="A58" s="7"/>
      <c r="B58" s="7"/>
      <c r="C58" s="14" t="s">
        <v>416</v>
      </c>
      <c r="D58" s="53">
        <f>'дод. 3'!E112</f>
        <v>1938677</v>
      </c>
      <c r="E58" s="53">
        <f>'дод. 3'!F112</f>
        <v>1938677</v>
      </c>
      <c r="F58" s="53">
        <f>'дод. 3'!G112</f>
        <v>0</v>
      </c>
      <c r="G58" s="53">
        <f>'дод. 3'!H112</f>
        <v>0</v>
      </c>
      <c r="H58" s="53">
        <f>'дод. 3'!I112</f>
        <v>0</v>
      </c>
      <c r="I58" s="53">
        <f>'дод. 3'!J112</f>
        <v>0</v>
      </c>
      <c r="J58" s="53">
        <f>'дод. 3'!K112</f>
        <v>0</v>
      </c>
      <c r="K58" s="53">
        <f>'дод. 3'!L112</f>
        <v>0</v>
      </c>
      <c r="L58" s="53">
        <f>'дод. 3'!M112</f>
        <v>0</v>
      </c>
      <c r="M58" s="53">
        <f>'дод. 3'!N112</f>
        <v>0</v>
      </c>
      <c r="N58" s="53">
        <f>'дод. 3'!O112</f>
        <v>0</v>
      </c>
      <c r="O58" s="53">
        <f>'дод. 3'!P112</f>
        <v>1938677</v>
      </c>
      <c r="P58" s="264"/>
      <c r="Q58" s="207"/>
      <c r="R58" s="207"/>
      <c r="S58" s="207"/>
      <c r="T58" s="207"/>
      <c r="U58" s="207"/>
      <c r="V58" s="207"/>
      <c r="W58" s="207"/>
      <c r="X58" s="207"/>
      <c r="Y58" s="207"/>
      <c r="Z58" s="207"/>
      <c r="AA58" s="207"/>
      <c r="AB58" s="207"/>
      <c r="AC58" s="207"/>
      <c r="AD58" s="207"/>
      <c r="AE58" s="207"/>
      <c r="AF58" s="207"/>
      <c r="AG58" s="207"/>
      <c r="AH58" s="207"/>
      <c r="AI58" s="207"/>
    </row>
    <row r="59" spans="1:35" s="8" customFormat="1" ht="21.75" customHeight="1">
      <c r="A59" s="7" t="s">
        <v>449</v>
      </c>
      <c r="B59" s="7" t="s">
        <v>103</v>
      </c>
      <c r="C59" s="14" t="s">
        <v>451</v>
      </c>
      <c r="D59" s="53">
        <f>'дод. 3'!E113</f>
        <v>1958489</v>
      </c>
      <c r="E59" s="53">
        <f>'дод. 3'!F113</f>
        <v>1958489</v>
      </c>
      <c r="F59" s="53">
        <f>'дод. 3'!G113</f>
        <v>0</v>
      </c>
      <c r="G59" s="53">
        <f>'дод. 3'!H113</f>
        <v>0</v>
      </c>
      <c r="H59" s="53">
        <f>'дод. 3'!I113</f>
        <v>0</v>
      </c>
      <c r="I59" s="53">
        <f>'дод. 3'!J113</f>
        <v>0</v>
      </c>
      <c r="J59" s="53">
        <f>'дод. 3'!K113</f>
        <v>0</v>
      </c>
      <c r="K59" s="53">
        <f>'дод. 3'!L113</f>
        <v>0</v>
      </c>
      <c r="L59" s="53">
        <f>'дод. 3'!M113</f>
        <v>0</v>
      </c>
      <c r="M59" s="53">
        <f>'дод. 3'!N113</f>
        <v>0</v>
      </c>
      <c r="N59" s="53">
        <f>'дод. 3'!O113</f>
        <v>0</v>
      </c>
      <c r="O59" s="53">
        <f>'дод. 3'!P113</f>
        <v>1958489</v>
      </c>
      <c r="P59" s="264"/>
      <c r="Q59" s="207"/>
      <c r="R59" s="207"/>
      <c r="S59" s="207"/>
      <c r="T59" s="207"/>
      <c r="U59" s="207"/>
      <c r="V59" s="207"/>
      <c r="W59" s="207"/>
      <c r="X59" s="207"/>
      <c r="Y59" s="207"/>
      <c r="Z59" s="207"/>
      <c r="AA59" s="207"/>
      <c r="AB59" s="207"/>
      <c r="AC59" s="207"/>
      <c r="AD59" s="207"/>
      <c r="AE59" s="207"/>
      <c r="AF59" s="207"/>
      <c r="AG59" s="207"/>
      <c r="AH59" s="207"/>
      <c r="AI59" s="207"/>
    </row>
    <row r="60" spans="1:35" s="8" customFormat="1" ht="21.75" customHeight="1">
      <c r="A60" s="7"/>
      <c r="B60" s="7"/>
      <c r="C60" s="14" t="s">
        <v>416</v>
      </c>
      <c r="D60" s="53">
        <f>'дод. 3'!E114</f>
        <v>1958489</v>
      </c>
      <c r="E60" s="53">
        <f>'дод. 3'!F114</f>
        <v>1958489</v>
      </c>
      <c r="F60" s="53">
        <f>'дод. 3'!G114</f>
        <v>0</v>
      </c>
      <c r="G60" s="53">
        <f>'дод. 3'!H114</f>
        <v>0</v>
      </c>
      <c r="H60" s="53">
        <f>'дод. 3'!I114</f>
        <v>0</v>
      </c>
      <c r="I60" s="53">
        <f>'дод. 3'!J114</f>
        <v>0</v>
      </c>
      <c r="J60" s="53">
        <f>'дод. 3'!K114</f>
        <v>0</v>
      </c>
      <c r="K60" s="53">
        <f>'дод. 3'!L114</f>
        <v>0</v>
      </c>
      <c r="L60" s="53">
        <f>'дод. 3'!M114</f>
        <v>0</v>
      </c>
      <c r="M60" s="53">
        <f>'дод. 3'!N114</f>
        <v>0</v>
      </c>
      <c r="N60" s="53">
        <f>'дод. 3'!O114</f>
        <v>0</v>
      </c>
      <c r="O60" s="53">
        <f>'дод. 3'!P114</f>
        <v>1958489</v>
      </c>
      <c r="P60" s="264"/>
      <c r="Q60" s="207"/>
      <c r="R60" s="207"/>
      <c r="S60" s="207"/>
      <c r="T60" s="207"/>
      <c r="U60" s="207"/>
      <c r="V60" s="207"/>
      <c r="W60" s="207"/>
      <c r="X60" s="207"/>
      <c r="Y60" s="207"/>
      <c r="Z60" s="207"/>
      <c r="AA60" s="207"/>
      <c r="AB60" s="207"/>
      <c r="AC60" s="207"/>
      <c r="AD60" s="207"/>
      <c r="AE60" s="207"/>
      <c r="AF60" s="207"/>
      <c r="AG60" s="207"/>
      <c r="AH60" s="207"/>
      <c r="AI60" s="207"/>
    </row>
    <row r="61" spans="1:35" s="22" customFormat="1" ht="34.5" customHeight="1">
      <c r="A61" s="23" t="s">
        <v>104</v>
      </c>
      <c r="B61" s="11"/>
      <c r="C61" s="11" t="s">
        <v>105</v>
      </c>
      <c r="D61" s="56">
        <f aca="true" t="shared" si="12" ref="D61:O61">D75+D96+D110+D112+D114+D116+D118+D119+D123+D124+D127+D128+D131+D109+D120+D63+D69+D80+D97+D129</f>
        <v>1230429933</v>
      </c>
      <c r="E61" s="56">
        <f t="shared" si="12"/>
        <v>1230429933</v>
      </c>
      <c r="F61" s="56">
        <f t="shared" si="12"/>
        <v>11340882.1</v>
      </c>
      <c r="G61" s="56">
        <f t="shared" si="12"/>
        <v>1020453</v>
      </c>
      <c r="H61" s="56">
        <f t="shared" si="12"/>
        <v>0</v>
      </c>
      <c r="I61" s="56">
        <f t="shared" si="12"/>
        <v>685900</v>
      </c>
      <c r="J61" s="56">
        <f t="shared" si="12"/>
        <v>57900</v>
      </c>
      <c r="K61" s="56">
        <f t="shared" si="12"/>
        <v>44700</v>
      </c>
      <c r="L61" s="56">
        <f t="shared" si="12"/>
        <v>0</v>
      </c>
      <c r="M61" s="56">
        <f t="shared" si="12"/>
        <v>628000</v>
      </c>
      <c r="N61" s="56">
        <f t="shared" si="12"/>
        <v>628000</v>
      </c>
      <c r="O61" s="56">
        <f t="shared" si="12"/>
        <v>1231115833</v>
      </c>
      <c r="P61" s="264"/>
      <c r="Q61" s="206"/>
      <c r="R61" s="206"/>
      <c r="S61" s="206"/>
      <c r="T61" s="206"/>
      <c r="U61" s="206"/>
      <c r="V61" s="206"/>
      <c r="W61" s="206"/>
      <c r="X61" s="206"/>
      <c r="Y61" s="206"/>
      <c r="Z61" s="206"/>
      <c r="AA61" s="206"/>
      <c r="AB61" s="206"/>
      <c r="AC61" s="206"/>
      <c r="AD61" s="206"/>
      <c r="AE61" s="206"/>
      <c r="AF61" s="206"/>
      <c r="AG61" s="206"/>
      <c r="AH61" s="206"/>
      <c r="AI61" s="206"/>
    </row>
    <row r="62" spans="1:35" s="22" customFormat="1" ht="21.75" customHeight="1">
      <c r="A62" s="23"/>
      <c r="B62" s="11"/>
      <c r="C62" s="11" t="s">
        <v>416</v>
      </c>
      <c r="D62" s="56">
        <f aca="true" t="shared" si="13" ref="D62:O62">D63+D69+D81+D98+D130</f>
        <v>1129786900</v>
      </c>
      <c r="E62" s="56">
        <f t="shared" si="13"/>
        <v>1129786900</v>
      </c>
      <c r="F62" s="56">
        <f t="shared" si="13"/>
        <v>0</v>
      </c>
      <c r="G62" s="56">
        <f t="shared" si="13"/>
        <v>0</v>
      </c>
      <c r="H62" s="56">
        <f t="shared" si="13"/>
        <v>0</v>
      </c>
      <c r="I62" s="56">
        <f t="shared" si="13"/>
        <v>0</v>
      </c>
      <c r="J62" s="56">
        <f t="shared" si="13"/>
        <v>0</v>
      </c>
      <c r="K62" s="56">
        <f t="shared" si="13"/>
        <v>0</v>
      </c>
      <c r="L62" s="56">
        <f t="shared" si="13"/>
        <v>0</v>
      </c>
      <c r="M62" s="56">
        <f t="shared" si="13"/>
        <v>0</v>
      </c>
      <c r="N62" s="56">
        <f t="shared" si="13"/>
        <v>0</v>
      </c>
      <c r="O62" s="56">
        <f t="shared" si="13"/>
        <v>1129786900</v>
      </c>
      <c r="P62" s="264"/>
      <c r="Q62" s="206"/>
      <c r="R62" s="206"/>
      <c r="S62" s="206"/>
      <c r="T62" s="206"/>
      <c r="U62" s="206"/>
      <c r="V62" s="206"/>
      <c r="W62" s="206"/>
      <c r="X62" s="206"/>
      <c r="Y62" s="206"/>
      <c r="Z62" s="206"/>
      <c r="AA62" s="206"/>
      <c r="AB62" s="206"/>
      <c r="AC62" s="206"/>
      <c r="AD62" s="206"/>
      <c r="AE62" s="206"/>
      <c r="AF62" s="206"/>
      <c r="AG62" s="206"/>
      <c r="AH62" s="206"/>
      <c r="AI62" s="206"/>
    </row>
    <row r="63" spans="1:35" ht="67.5" customHeight="1">
      <c r="A63" s="5" t="s">
        <v>517</v>
      </c>
      <c r="B63" s="13"/>
      <c r="C63" s="13" t="s">
        <v>523</v>
      </c>
      <c r="D63" s="52">
        <f aca="true" t="shared" si="14" ref="D63:O63">D65+D67</f>
        <v>772232100</v>
      </c>
      <c r="E63" s="52">
        <f t="shared" si="14"/>
        <v>772232100</v>
      </c>
      <c r="F63" s="52">
        <f t="shared" si="14"/>
        <v>0</v>
      </c>
      <c r="G63" s="52">
        <f t="shared" si="14"/>
        <v>0</v>
      </c>
      <c r="H63" s="52">
        <f t="shared" si="14"/>
        <v>0</v>
      </c>
      <c r="I63" s="52">
        <f t="shared" si="14"/>
        <v>0</v>
      </c>
      <c r="J63" s="52">
        <f t="shared" si="14"/>
        <v>0</v>
      </c>
      <c r="K63" s="52">
        <f t="shared" si="14"/>
        <v>0</v>
      </c>
      <c r="L63" s="52">
        <f t="shared" si="14"/>
        <v>0</v>
      </c>
      <c r="M63" s="52">
        <f t="shared" si="14"/>
        <v>0</v>
      </c>
      <c r="N63" s="52">
        <f t="shared" si="14"/>
        <v>0</v>
      </c>
      <c r="O63" s="52">
        <f t="shared" si="14"/>
        <v>772232100</v>
      </c>
      <c r="P63" s="264"/>
      <c r="Q63" s="208"/>
      <c r="R63" s="208"/>
      <c r="S63" s="208"/>
      <c r="T63" s="208"/>
      <c r="U63" s="208"/>
      <c r="V63" s="208"/>
      <c r="W63" s="208"/>
      <c r="X63" s="208"/>
      <c r="Y63" s="208"/>
      <c r="Z63" s="208"/>
      <c r="AA63" s="208"/>
      <c r="AB63" s="208"/>
      <c r="AC63" s="208"/>
      <c r="AD63" s="208"/>
      <c r="AE63" s="208"/>
      <c r="AF63" s="208"/>
      <c r="AG63" s="208"/>
      <c r="AH63" s="208"/>
      <c r="AI63" s="208"/>
    </row>
    <row r="64" spans="2:35" ht="21.75" customHeight="1">
      <c r="B64" s="13"/>
      <c r="C64" s="13" t="s">
        <v>416</v>
      </c>
      <c r="D64" s="52">
        <f aca="true" t="shared" si="15" ref="D64:O64">D66+D68</f>
        <v>772232100</v>
      </c>
      <c r="E64" s="52">
        <f t="shared" si="15"/>
        <v>772232100</v>
      </c>
      <c r="F64" s="52">
        <f t="shared" si="15"/>
        <v>0</v>
      </c>
      <c r="G64" s="52">
        <f t="shared" si="15"/>
        <v>0</v>
      </c>
      <c r="H64" s="52">
        <f t="shared" si="15"/>
        <v>0</v>
      </c>
      <c r="I64" s="52">
        <f t="shared" si="15"/>
        <v>0</v>
      </c>
      <c r="J64" s="52">
        <f t="shared" si="15"/>
        <v>0</v>
      </c>
      <c r="K64" s="52">
        <f t="shared" si="15"/>
        <v>0</v>
      </c>
      <c r="L64" s="52">
        <f t="shared" si="15"/>
        <v>0</v>
      </c>
      <c r="M64" s="52">
        <f t="shared" si="15"/>
        <v>0</v>
      </c>
      <c r="N64" s="52">
        <f t="shared" si="15"/>
        <v>0</v>
      </c>
      <c r="O64" s="52">
        <f t="shared" si="15"/>
        <v>772232100</v>
      </c>
      <c r="P64" s="264"/>
      <c r="Q64" s="208"/>
      <c r="R64" s="208"/>
      <c r="S64" s="208"/>
      <c r="T64" s="208"/>
      <c r="U64" s="208"/>
      <c r="V64" s="208"/>
      <c r="W64" s="208"/>
      <c r="X64" s="208"/>
      <c r="Y64" s="208"/>
      <c r="Z64" s="208"/>
      <c r="AA64" s="208"/>
      <c r="AB64" s="208"/>
      <c r="AC64" s="208"/>
      <c r="AD64" s="208"/>
      <c r="AE64" s="208"/>
      <c r="AF64" s="208"/>
      <c r="AG64" s="208"/>
      <c r="AH64" s="208"/>
      <c r="AI64" s="208"/>
    </row>
    <row r="65" spans="1:35" s="8" customFormat="1" ht="49.5" customHeight="1">
      <c r="A65" s="7" t="s">
        <v>518</v>
      </c>
      <c r="B65" s="168">
        <v>1030</v>
      </c>
      <c r="C65" s="14" t="s">
        <v>524</v>
      </c>
      <c r="D65" s="53">
        <f>'дод. 3'!E122</f>
        <v>66261200</v>
      </c>
      <c r="E65" s="53">
        <f>'дод. 3'!F122</f>
        <v>66261200</v>
      </c>
      <c r="F65" s="53">
        <f>'дод. 3'!G122</f>
        <v>0</v>
      </c>
      <c r="G65" s="53">
        <f>'дод. 3'!H122</f>
        <v>0</v>
      </c>
      <c r="H65" s="53">
        <f>'дод. 3'!I122</f>
        <v>0</v>
      </c>
      <c r="I65" s="53">
        <f>'дод. 3'!J122</f>
        <v>0</v>
      </c>
      <c r="J65" s="53">
        <f>'дод. 3'!K122</f>
        <v>0</v>
      </c>
      <c r="K65" s="53">
        <f>'дод. 3'!L122</f>
        <v>0</v>
      </c>
      <c r="L65" s="53">
        <f>'дод. 3'!M122</f>
        <v>0</v>
      </c>
      <c r="M65" s="53">
        <f>'дод. 3'!N122</f>
        <v>0</v>
      </c>
      <c r="N65" s="53">
        <f>'дод. 3'!O122</f>
        <v>0</v>
      </c>
      <c r="O65" s="53">
        <f>'дод. 3'!P122</f>
        <v>66261200</v>
      </c>
      <c r="P65" s="264"/>
      <c r="Q65" s="209"/>
      <c r="R65" s="209"/>
      <c r="S65" s="209"/>
      <c r="T65" s="209"/>
      <c r="U65" s="209"/>
      <c r="V65" s="209"/>
      <c r="W65" s="209"/>
      <c r="X65" s="209"/>
      <c r="Y65" s="209"/>
      <c r="Z65" s="209"/>
      <c r="AA65" s="209"/>
      <c r="AB65" s="209"/>
      <c r="AC65" s="209"/>
      <c r="AD65" s="209"/>
      <c r="AE65" s="209"/>
      <c r="AF65" s="209"/>
      <c r="AG65" s="209"/>
      <c r="AH65" s="209"/>
      <c r="AI65" s="209"/>
    </row>
    <row r="66" spans="1:35" s="8" customFormat="1" ht="21.75" customHeight="1">
      <c r="A66" s="7"/>
      <c r="B66" s="168"/>
      <c r="C66" s="14" t="s">
        <v>416</v>
      </c>
      <c r="D66" s="53">
        <f>'дод. 3'!E123</f>
        <v>66261200</v>
      </c>
      <c r="E66" s="53">
        <f>'дод. 3'!F123</f>
        <v>66261200</v>
      </c>
      <c r="F66" s="53">
        <f>'дод. 3'!G123</f>
        <v>0</v>
      </c>
      <c r="G66" s="53">
        <f>'дод. 3'!H123</f>
        <v>0</v>
      </c>
      <c r="H66" s="53">
        <f>'дод. 3'!I123</f>
        <v>0</v>
      </c>
      <c r="I66" s="53">
        <f>'дод. 3'!J123</f>
        <v>0</v>
      </c>
      <c r="J66" s="53">
        <f>'дод. 3'!K123</f>
        <v>0</v>
      </c>
      <c r="K66" s="53">
        <f>'дод. 3'!L123</f>
        <v>0</v>
      </c>
      <c r="L66" s="53">
        <f>'дод. 3'!M123</f>
        <v>0</v>
      </c>
      <c r="M66" s="53">
        <f>'дод. 3'!N123</f>
        <v>0</v>
      </c>
      <c r="N66" s="53">
        <f>'дод. 3'!O123</f>
        <v>0</v>
      </c>
      <c r="O66" s="53">
        <f>'дод. 3'!P123</f>
        <v>66261200</v>
      </c>
      <c r="P66" s="264"/>
      <c r="Q66" s="209"/>
      <c r="R66" s="209"/>
      <c r="S66" s="209"/>
      <c r="T66" s="209"/>
      <c r="U66" s="209"/>
      <c r="V66" s="209"/>
      <c r="W66" s="209"/>
      <c r="X66" s="209"/>
      <c r="Y66" s="209"/>
      <c r="Z66" s="209"/>
      <c r="AA66" s="209"/>
      <c r="AB66" s="209"/>
      <c r="AC66" s="209"/>
      <c r="AD66" s="209"/>
      <c r="AE66" s="209"/>
      <c r="AF66" s="209"/>
      <c r="AG66" s="209"/>
      <c r="AH66" s="209"/>
      <c r="AI66" s="209"/>
    </row>
    <row r="67" spans="1:35" s="8" customFormat="1" ht="33" customHeight="1">
      <c r="A67" s="7" t="s">
        <v>519</v>
      </c>
      <c r="B67" s="168">
        <v>1060</v>
      </c>
      <c r="C67" s="14" t="s">
        <v>525</v>
      </c>
      <c r="D67" s="53">
        <f>'дод. 3'!E124</f>
        <v>705970900</v>
      </c>
      <c r="E67" s="53">
        <f>'дод. 3'!F124</f>
        <v>705970900</v>
      </c>
      <c r="F67" s="53">
        <f>'дод. 3'!G124</f>
        <v>0</v>
      </c>
      <c r="G67" s="53">
        <f>'дод. 3'!H124</f>
        <v>0</v>
      </c>
      <c r="H67" s="53">
        <f>'дод. 3'!I124</f>
        <v>0</v>
      </c>
      <c r="I67" s="53">
        <f>'дод. 3'!J124</f>
        <v>0</v>
      </c>
      <c r="J67" s="53">
        <f>'дод. 3'!K124</f>
        <v>0</v>
      </c>
      <c r="K67" s="53">
        <f>'дод. 3'!L124</f>
        <v>0</v>
      </c>
      <c r="L67" s="53">
        <f>'дод. 3'!M124</f>
        <v>0</v>
      </c>
      <c r="M67" s="53">
        <f>'дод. 3'!N124</f>
        <v>0</v>
      </c>
      <c r="N67" s="53">
        <f>'дод. 3'!O124</f>
        <v>0</v>
      </c>
      <c r="O67" s="53">
        <f>'дод. 3'!P124</f>
        <v>705970900</v>
      </c>
      <c r="P67" s="264"/>
      <c r="Q67" s="209"/>
      <c r="R67" s="209"/>
      <c r="S67" s="209"/>
      <c r="T67" s="209"/>
      <c r="U67" s="209"/>
      <c r="V67" s="209"/>
      <c r="W67" s="209"/>
      <c r="X67" s="209"/>
      <c r="Y67" s="209"/>
      <c r="Z67" s="209"/>
      <c r="AA67" s="209"/>
      <c r="AB67" s="209"/>
      <c r="AC67" s="209"/>
      <c r="AD67" s="209"/>
      <c r="AE67" s="209"/>
      <c r="AF67" s="209"/>
      <c r="AG67" s="209"/>
      <c r="AH67" s="209"/>
      <c r="AI67" s="209"/>
    </row>
    <row r="68" spans="1:35" s="8" customFormat="1" ht="21.75" customHeight="1">
      <c r="A68" s="7"/>
      <c r="B68" s="14"/>
      <c r="C68" s="14" t="s">
        <v>416</v>
      </c>
      <c r="D68" s="53">
        <f>'дод. 3'!E125</f>
        <v>705970900</v>
      </c>
      <c r="E68" s="53">
        <f>'дод. 3'!F125</f>
        <v>705970900</v>
      </c>
      <c r="F68" s="53">
        <f>'дод. 3'!G125</f>
        <v>0</v>
      </c>
      <c r="G68" s="53">
        <f>'дод. 3'!H125</f>
        <v>0</v>
      </c>
      <c r="H68" s="53">
        <f>'дод. 3'!I125</f>
        <v>0</v>
      </c>
      <c r="I68" s="53">
        <f>'дод. 3'!J125</f>
        <v>0</v>
      </c>
      <c r="J68" s="53">
        <f>'дод. 3'!K125</f>
        <v>0</v>
      </c>
      <c r="K68" s="53">
        <f>'дод. 3'!L125</f>
        <v>0</v>
      </c>
      <c r="L68" s="53">
        <f>'дод. 3'!M125</f>
        <v>0</v>
      </c>
      <c r="M68" s="53">
        <f>'дод. 3'!N125</f>
        <v>0</v>
      </c>
      <c r="N68" s="53">
        <f>'дод. 3'!O125</f>
        <v>0</v>
      </c>
      <c r="O68" s="53">
        <f>'дод. 3'!P125</f>
        <v>705970900</v>
      </c>
      <c r="P68" s="264"/>
      <c r="Q68" s="209"/>
      <c r="R68" s="209"/>
      <c r="S68" s="209"/>
      <c r="T68" s="209"/>
      <c r="U68" s="209"/>
      <c r="V68" s="209"/>
      <c r="W68" s="209"/>
      <c r="X68" s="209"/>
      <c r="Y68" s="209"/>
      <c r="Z68" s="209"/>
      <c r="AA68" s="209"/>
      <c r="AB68" s="209"/>
      <c r="AC68" s="209"/>
      <c r="AD68" s="209"/>
      <c r="AE68" s="209"/>
      <c r="AF68" s="209"/>
      <c r="AG68" s="209"/>
      <c r="AH68" s="209"/>
      <c r="AI68" s="209"/>
    </row>
    <row r="69" spans="1:35" ht="52.5" customHeight="1">
      <c r="A69" s="5" t="s">
        <v>520</v>
      </c>
      <c r="B69" s="13"/>
      <c r="C69" s="13" t="s">
        <v>526</v>
      </c>
      <c r="D69" s="52">
        <f aca="true" t="shared" si="16" ref="D69:O69">D71+D73</f>
        <v>375400</v>
      </c>
      <c r="E69" s="52">
        <f t="shared" si="16"/>
        <v>375400</v>
      </c>
      <c r="F69" s="52">
        <f t="shared" si="16"/>
        <v>0</v>
      </c>
      <c r="G69" s="52">
        <f t="shared" si="16"/>
        <v>0</v>
      </c>
      <c r="H69" s="52">
        <f t="shared" si="16"/>
        <v>0</v>
      </c>
      <c r="I69" s="52">
        <f t="shared" si="16"/>
        <v>0</v>
      </c>
      <c r="J69" s="52">
        <f t="shared" si="16"/>
        <v>0</v>
      </c>
      <c r="K69" s="52">
        <f t="shared" si="16"/>
        <v>0</v>
      </c>
      <c r="L69" s="52">
        <f t="shared" si="16"/>
        <v>0</v>
      </c>
      <c r="M69" s="52">
        <f t="shared" si="16"/>
        <v>0</v>
      </c>
      <c r="N69" s="52">
        <f t="shared" si="16"/>
        <v>0</v>
      </c>
      <c r="O69" s="52">
        <f t="shared" si="16"/>
        <v>375400</v>
      </c>
      <c r="P69" s="264"/>
      <c r="Q69" s="208"/>
      <c r="R69" s="208"/>
      <c r="S69" s="208"/>
      <c r="T69" s="208"/>
      <c r="U69" s="208"/>
      <c r="V69" s="208"/>
      <c r="W69" s="208"/>
      <c r="X69" s="208"/>
      <c r="Y69" s="208"/>
      <c r="Z69" s="208"/>
      <c r="AA69" s="208"/>
      <c r="AB69" s="208"/>
      <c r="AC69" s="208"/>
      <c r="AD69" s="208"/>
      <c r="AE69" s="208"/>
      <c r="AF69" s="208"/>
      <c r="AG69" s="208"/>
      <c r="AH69" s="208"/>
      <c r="AI69" s="208"/>
    </row>
    <row r="70" spans="2:35" ht="21.75" customHeight="1">
      <c r="B70" s="13"/>
      <c r="C70" s="13" t="s">
        <v>416</v>
      </c>
      <c r="D70" s="52">
        <f aca="true" t="shared" si="17" ref="D70:O70">D72+D74</f>
        <v>375400</v>
      </c>
      <c r="E70" s="52">
        <f t="shared" si="17"/>
        <v>375400</v>
      </c>
      <c r="F70" s="52">
        <f t="shared" si="17"/>
        <v>0</v>
      </c>
      <c r="G70" s="52">
        <f t="shared" si="17"/>
        <v>0</v>
      </c>
      <c r="H70" s="52">
        <f t="shared" si="17"/>
        <v>0</v>
      </c>
      <c r="I70" s="52">
        <f t="shared" si="17"/>
        <v>0</v>
      </c>
      <c r="J70" s="52">
        <f t="shared" si="17"/>
        <v>0</v>
      </c>
      <c r="K70" s="52">
        <f t="shared" si="17"/>
        <v>0</v>
      </c>
      <c r="L70" s="52">
        <f t="shared" si="17"/>
        <v>0</v>
      </c>
      <c r="M70" s="52">
        <f t="shared" si="17"/>
        <v>0</v>
      </c>
      <c r="N70" s="52">
        <f t="shared" si="17"/>
        <v>0</v>
      </c>
      <c r="O70" s="52">
        <f t="shared" si="17"/>
        <v>375400</v>
      </c>
      <c r="P70" s="264"/>
      <c r="Q70" s="208"/>
      <c r="R70" s="208"/>
      <c r="S70" s="208"/>
      <c r="T70" s="208"/>
      <c r="U70" s="208"/>
      <c r="V70" s="208"/>
      <c r="W70" s="208"/>
      <c r="X70" s="208"/>
      <c r="Y70" s="208"/>
      <c r="Z70" s="208"/>
      <c r="AA70" s="208"/>
      <c r="AB70" s="208"/>
      <c r="AC70" s="208"/>
      <c r="AD70" s="208"/>
      <c r="AE70" s="208"/>
      <c r="AF70" s="208"/>
      <c r="AG70" s="208"/>
      <c r="AH70" s="208"/>
      <c r="AI70" s="208"/>
    </row>
    <row r="71" spans="1:35" s="8" customFormat="1" ht="64.5" customHeight="1">
      <c r="A71" s="7" t="s">
        <v>521</v>
      </c>
      <c r="B71" s="168">
        <v>1030</v>
      </c>
      <c r="C71" s="14" t="s">
        <v>527</v>
      </c>
      <c r="D71" s="53">
        <f>'дод. 3'!E128</f>
        <v>57630</v>
      </c>
      <c r="E71" s="53">
        <f>'дод. 3'!F128</f>
        <v>57630</v>
      </c>
      <c r="F71" s="53">
        <f>'дод. 3'!G128</f>
        <v>0</v>
      </c>
      <c r="G71" s="53">
        <f>'дод. 3'!H128</f>
        <v>0</v>
      </c>
      <c r="H71" s="53">
        <f>'дод. 3'!I128</f>
        <v>0</v>
      </c>
      <c r="I71" s="53">
        <f>'дод. 3'!J128</f>
        <v>0</v>
      </c>
      <c r="J71" s="53">
        <f>'дод. 3'!K128</f>
        <v>0</v>
      </c>
      <c r="K71" s="53">
        <f>'дод. 3'!L128</f>
        <v>0</v>
      </c>
      <c r="L71" s="53">
        <f>'дод. 3'!M128</f>
        <v>0</v>
      </c>
      <c r="M71" s="53">
        <f>'дод. 3'!N128</f>
        <v>0</v>
      </c>
      <c r="N71" s="53">
        <f>'дод. 3'!O128</f>
        <v>0</v>
      </c>
      <c r="O71" s="53">
        <f>'дод. 3'!P128</f>
        <v>57630</v>
      </c>
      <c r="P71" s="264"/>
      <c r="Q71" s="209"/>
      <c r="R71" s="209"/>
      <c r="S71" s="209"/>
      <c r="T71" s="209"/>
      <c r="U71" s="209"/>
      <c r="V71" s="209"/>
      <c r="W71" s="209"/>
      <c r="X71" s="209"/>
      <c r="Y71" s="209"/>
      <c r="Z71" s="209"/>
      <c r="AA71" s="209"/>
      <c r="AB71" s="209"/>
      <c r="AC71" s="209"/>
      <c r="AD71" s="209"/>
      <c r="AE71" s="209"/>
      <c r="AF71" s="209"/>
      <c r="AG71" s="209"/>
      <c r="AH71" s="209"/>
      <c r="AI71" s="209"/>
    </row>
    <row r="72" spans="1:35" s="8" customFormat="1" ht="21.75" customHeight="1">
      <c r="A72" s="7"/>
      <c r="B72" s="14"/>
      <c r="C72" s="14" t="s">
        <v>416</v>
      </c>
      <c r="D72" s="53">
        <f>'дод. 3'!E129</f>
        <v>57630</v>
      </c>
      <c r="E72" s="53">
        <f>'дод. 3'!F129</f>
        <v>57630</v>
      </c>
      <c r="F72" s="53">
        <f>'дод. 3'!G129</f>
        <v>0</v>
      </c>
      <c r="G72" s="53">
        <f>'дод. 3'!H129</f>
        <v>0</v>
      </c>
      <c r="H72" s="53">
        <f>'дод. 3'!I129</f>
        <v>0</v>
      </c>
      <c r="I72" s="53">
        <f>'дод. 3'!J129</f>
        <v>0</v>
      </c>
      <c r="J72" s="53">
        <f>'дод. 3'!K129</f>
        <v>0</v>
      </c>
      <c r="K72" s="53">
        <f>'дод. 3'!L129</f>
        <v>0</v>
      </c>
      <c r="L72" s="53">
        <f>'дод. 3'!M129</f>
        <v>0</v>
      </c>
      <c r="M72" s="53">
        <f>'дод. 3'!N129</f>
        <v>0</v>
      </c>
      <c r="N72" s="53">
        <f>'дод. 3'!O129</f>
        <v>0</v>
      </c>
      <c r="O72" s="53">
        <f>'дод. 3'!P129</f>
        <v>57630</v>
      </c>
      <c r="P72" s="264"/>
      <c r="Q72" s="209"/>
      <c r="R72" s="209"/>
      <c r="S72" s="209"/>
      <c r="T72" s="209"/>
      <c r="U72" s="209"/>
      <c r="V72" s="209"/>
      <c r="W72" s="209"/>
      <c r="X72" s="209"/>
      <c r="Y72" s="209"/>
      <c r="Z72" s="209"/>
      <c r="AA72" s="209"/>
      <c r="AB72" s="209"/>
      <c r="AC72" s="209"/>
      <c r="AD72" s="209"/>
      <c r="AE72" s="209"/>
      <c r="AF72" s="209"/>
      <c r="AG72" s="209"/>
      <c r="AH72" s="209"/>
      <c r="AI72" s="209"/>
    </row>
    <row r="73" spans="1:35" s="8" customFormat="1" ht="55.5" customHeight="1">
      <c r="A73" s="7" t="s">
        <v>522</v>
      </c>
      <c r="B73" s="168">
        <v>1060</v>
      </c>
      <c r="C73" s="14" t="s">
        <v>528</v>
      </c>
      <c r="D73" s="53">
        <f>'дод. 3'!E130</f>
        <v>317770</v>
      </c>
      <c r="E73" s="53">
        <f>'дод. 3'!F130</f>
        <v>317770</v>
      </c>
      <c r="F73" s="53">
        <f>'дод. 3'!G130</f>
        <v>0</v>
      </c>
      <c r="G73" s="53">
        <f>'дод. 3'!H130</f>
        <v>0</v>
      </c>
      <c r="H73" s="53">
        <f>'дод. 3'!I130</f>
        <v>0</v>
      </c>
      <c r="I73" s="53">
        <f>'дод. 3'!J130</f>
        <v>0</v>
      </c>
      <c r="J73" s="53">
        <f>'дод. 3'!K130</f>
        <v>0</v>
      </c>
      <c r="K73" s="53">
        <f>'дод. 3'!L130</f>
        <v>0</v>
      </c>
      <c r="L73" s="53">
        <f>'дод. 3'!M130</f>
        <v>0</v>
      </c>
      <c r="M73" s="53">
        <f>'дод. 3'!N130</f>
        <v>0</v>
      </c>
      <c r="N73" s="53">
        <f>'дод. 3'!O130</f>
        <v>0</v>
      </c>
      <c r="O73" s="53">
        <f>'дод. 3'!P130</f>
        <v>317770</v>
      </c>
      <c r="P73" s="264">
        <v>26</v>
      </c>
      <c r="Q73" s="209"/>
      <c r="R73" s="209"/>
      <c r="S73" s="209"/>
      <c r="T73" s="209"/>
      <c r="U73" s="209"/>
      <c r="V73" s="209"/>
      <c r="W73" s="209"/>
      <c r="X73" s="209"/>
      <c r="Y73" s="209"/>
      <c r="Z73" s="209"/>
      <c r="AA73" s="209"/>
      <c r="AB73" s="209"/>
      <c r="AC73" s="209"/>
      <c r="AD73" s="209"/>
      <c r="AE73" s="209"/>
      <c r="AF73" s="209"/>
      <c r="AG73" s="209"/>
      <c r="AH73" s="209"/>
      <c r="AI73" s="209"/>
    </row>
    <row r="74" spans="1:35" s="8" customFormat="1" ht="21.75" customHeight="1">
      <c r="A74" s="7"/>
      <c r="B74" s="14"/>
      <c r="C74" s="14" t="s">
        <v>416</v>
      </c>
      <c r="D74" s="53">
        <f>'дод. 3'!E131</f>
        <v>317770</v>
      </c>
      <c r="E74" s="53">
        <f>'дод. 3'!F131</f>
        <v>317770</v>
      </c>
      <c r="F74" s="53">
        <f>'дод. 3'!G131</f>
        <v>0</v>
      </c>
      <c r="G74" s="53">
        <f>'дод. 3'!H131</f>
        <v>0</v>
      </c>
      <c r="H74" s="53">
        <f>'дод. 3'!I131</f>
        <v>0</v>
      </c>
      <c r="I74" s="53">
        <f>'дод. 3'!J131</f>
        <v>0</v>
      </c>
      <c r="J74" s="53">
        <f>'дод. 3'!K131</f>
        <v>0</v>
      </c>
      <c r="K74" s="53">
        <f>'дод. 3'!L131</f>
        <v>0</v>
      </c>
      <c r="L74" s="53">
        <f>'дод. 3'!M131</f>
        <v>0</v>
      </c>
      <c r="M74" s="53">
        <f>'дод. 3'!N131</f>
        <v>0</v>
      </c>
      <c r="N74" s="53">
        <f>'дод. 3'!O131</f>
        <v>0</v>
      </c>
      <c r="O74" s="53">
        <f>'дод. 3'!P131</f>
        <v>317770</v>
      </c>
      <c r="P74" s="264"/>
      <c r="Q74" s="209"/>
      <c r="R74" s="209"/>
      <c r="S74" s="209"/>
      <c r="T74" s="209"/>
      <c r="U74" s="209"/>
      <c r="V74" s="209"/>
      <c r="W74" s="209"/>
      <c r="X74" s="209"/>
      <c r="Y74" s="209"/>
      <c r="Z74" s="209"/>
      <c r="AA74" s="209"/>
      <c r="AB74" s="209"/>
      <c r="AC74" s="209"/>
      <c r="AD74" s="209"/>
      <c r="AE74" s="209"/>
      <c r="AF74" s="209"/>
      <c r="AG74" s="209"/>
      <c r="AH74" s="209"/>
      <c r="AI74" s="209"/>
    </row>
    <row r="75" spans="1:35" ht="63">
      <c r="A75" s="5" t="s">
        <v>145</v>
      </c>
      <c r="B75" s="32"/>
      <c r="C75" s="13" t="s">
        <v>195</v>
      </c>
      <c r="D75" s="52">
        <f>D76+D77+D78+D79</f>
        <v>38764126</v>
      </c>
      <c r="E75" s="52">
        <f aca="true" t="shared" si="18" ref="E75:O75">E76+E77+E78+E79</f>
        <v>38764126</v>
      </c>
      <c r="F75" s="52">
        <f t="shared" si="18"/>
        <v>0</v>
      </c>
      <c r="G75" s="52">
        <f t="shared" si="18"/>
        <v>0</v>
      </c>
      <c r="H75" s="52">
        <f t="shared" si="18"/>
        <v>0</v>
      </c>
      <c r="I75" s="52">
        <f t="shared" si="18"/>
        <v>214000</v>
      </c>
      <c r="J75" s="52">
        <f t="shared" si="18"/>
        <v>0</v>
      </c>
      <c r="K75" s="52">
        <f t="shared" si="18"/>
        <v>0</v>
      </c>
      <c r="L75" s="52">
        <f t="shared" si="18"/>
        <v>0</v>
      </c>
      <c r="M75" s="52">
        <f t="shared" si="18"/>
        <v>214000</v>
      </c>
      <c r="N75" s="52">
        <f t="shared" si="18"/>
        <v>214000</v>
      </c>
      <c r="O75" s="52">
        <f t="shared" si="18"/>
        <v>38978126</v>
      </c>
      <c r="P75" s="264"/>
      <c r="Q75" s="205"/>
      <c r="R75" s="205"/>
      <c r="S75" s="205"/>
      <c r="T75" s="205"/>
      <c r="U75" s="205"/>
      <c r="V75" s="205"/>
      <c r="W75" s="205"/>
      <c r="X75" s="205"/>
      <c r="Y75" s="205"/>
      <c r="Z75" s="205"/>
      <c r="AA75" s="205"/>
      <c r="AB75" s="205"/>
      <c r="AC75" s="205"/>
      <c r="AD75" s="205"/>
      <c r="AE75" s="205"/>
      <c r="AF75" s="205"/>
      <c r="AG75" s="205"/>
      <c r="AH75" s="205"/>
      <c r="AI75" s="205"/>
    </row>
    <row r="76" spans="1:35" s="8" customFormat="1" ht="45" customHeight="1">
      <c r="A76" s="7" t="s">
        <v>146</v>
      </c>
      <c r="B76" s="7" t="s">
        <v>87</v>
      </c>
      <c r="C76" s="14" t="s">
        <v>196</v>
      </c>
      <c r="D76" s="53">
        <f>'дод. 3'!E133</f>
        <v>371502</v>
      </c>
      <c r="E76" s="53">
        <f>'дод. 3'!F133</f>
        <v>371502</v>
      </c>
      <c r="F76" s="53">
        <f>'дод. 3'!G133</f>
        <v>0</v>
      </c>
      <c r="G76" s="53">
        <f>'дод. 3'!H133</f>
        <v>0</v>
      </c>
      <c r="H76" s="53">
        <f>'дод. 3'!I133</f>
        <v>0</v>
      </c>
      <c r="I76" s="53">
        <f>'дод. 3'!J133</f>
        <v>214000</v>
      </c>
      <c r="J76" s="53">
        <f>'дод. 3'!K133</f>
        <v>0</v>
      </c>
      <c r="K76" s="53">
        <f>'дод. 3'!L133</f>
        <v>0</v>
      </c>
      <c r="L76" s="53">
        <f>'дод. 3'!M133</f>
        <v>0</v>
      </c>
      <c r="M76" s="53">
        <f>'дод. 3'!N133</f>
        <v>214000</v>
      </c>
      <c r="N76" s="53">
        <f>'дод. 3'!O133</f>
        <v>214000</v>
      </c>
      <c r="O76" s="53">
        <f>'дод. 3'!P133</f>
        <v>585502</v>
      </c>
      <c r="P76" s="264"/>
      <c r="Q76" s="207"/>
      <c r="R76" s="207"/>
      <c r="S76" s="207"/>
      <c r="T76" s="207"/>
      <c r="U76" s="207"/>
      <c r="V76" s="207"/>
      <c r="W76" s="207"/>
      <c r="X76" s="207"/>
      <c r="Y76" s="207"/>
      <c r="Z76" s="207"/>
      <c r="AA76" s="207"/>
      <c r="AB76" s="207"/>
      <c r="AC76" s="207"/>
      <c r="AD76" s="207"/>
      <c r="AE76" s="207"/>
      <c r="AF76" s="207"/>
      <c r="AG76" s="207"/>
      <c r="AH76" s="207"/>
      <c r="AI76" s="207"/>
    </row>
    <row r="77" spans="1:35" s="8" customFormat="1" ht="32.25" customHeight="1">
      <c r="A77" s="7" t="s">
        <v>198</v>
      </c>
      <c r="B77" s="7" t="s">
        <v>89</v>
      </c>
      <c r="C77" s="14" t="s">
        <v>197</v>
      </c>
      <c r="D77" s="53">
        <f>'дод. 3'!E134</f>
        <v>1541402</v>
      </c>
      <c r="E77" s="53">
        <f>'дод. 3'!F134</f>
        <v>1541402</v>
      </c>
      <c r="F77" s="53">
        <f>'дод. 3'!G134</f>
        <v>0</v>
      </c>
      <c r="G77" s="53">
        <f>'дод. 3'!H134</f>
        <v>0</v>
      </c>
      <c r="H77" s="53">
        <f>'дод. 3'!I134</f>
        <v>0</v>
      </c>
      <c r="I77" s="53">
        <f>'дод. 3'!J134</f>
        <v>0</v>
      </c>
      <c r="J77" s="53">
        <f>'дод. 3'!K134</f>
        <v>0</v>
      </c>
      <c r="K77" s="53">
        <f>'дод. 3'!L134</f>
        <v>0</v>
      </c>
      <c r="L77" s="53">
        <f>'дод. 3'!M134</f>
        <v>0</v>
      </c>
      <c r="M77" s="53">
        <f>'дод. 3'!N134</f>
        <v>0</v>
      </c>
      <c r="N77" s="53">
        <f>'дод. 3'!O134</f>
        <v>0</v>
      </c>
      <c r="O77" s="53">
        <f>'дод. 3'!P134</f>
        <v>1541402</v>
      </c>
      <c r="P77" s="264"/>
      <c r="Q77" s="207"/>
      <c r="R77" s="207"/>
      <c r="S77" s="207"/>
      <c r="T77" s="207"/>
      <c r="U77" s="207"/>
      <c r="V77" s="207"/>
      <c r="W77" s="207"/>
      <c r="X77" s="207"/>
      <c r="Y77" s="207"/>
      <c r="Z77" s="207"/>
      <c r="AA77" s="207"/>
      <c r="AB77" s="207"/>
      <c r="AC77" s="207"/>
      <c r="AD77" s="207"/>
      <c r="AE77" s="207"/>
      <c r="AF77" s="207"/>
      <c r="AG77" s="207"/>
      <c r="AH77" s="207"/>
      <c r="AI77" s="207"/>
    </row>
    <row r="78" spans="1:35" s="8" customFormat="1" ht="54.75" customHeight="1">
      <c r="A78" s="7" t="s">
        <v>147</v>
      </c>
      <c r="B78" s="7" t="s">
        <v>89</v>
      </c>
      <c r="C78" s="14" t="s">
        <v>74</v>
      </c>
      <c r="D78" s="53">
        <f>'дод. 3'!E135+'дод. 3'!E18</f>
        <v>9592796</v>
      </c>
      <c r="E78" s="53">
        <f>'дод. 3'!F135+'дод. 3'!F18</f>
        <v>9592796</v>
      </c>
      <c r="F78" s="53">
        <f>'дод. 3'!G135+'дод. 3'!G18</f>
        <v>0</v>
      </c>
      <c r="G78" s="53">
        <f>'дод. 3'!H135+'дод. 3'!H18</f>
        <v>0</v>
      </c>
      <c r="H78" s="53">
        <f>'дод. 3'!I135+'дод. 3'!I18</f>
        <v>0</v>
      </c>
      <c r="I78" s="53">
        <f>'дод. 3'!J135+'дод. 3'!J18</f>
        <v>0</v>
      </c>
      <c r="J78" s="53">
        <f>'дод. 3'!K135+'дод. 3'!K18</f>
        <v>0</v>
      </c>
      <c r="K78" s="53">
        <f>'дод. 3'!L135+'дод. 3'!L18</f>
        <v>0</v>
      </c>
      <c r="L78" s="53">
        <f>'дод. 3'!M135+'дод. 3'!M18</f>
        <v>0</v>
      </c>
      <c r="M78" s="53">
        <f>'дод. 3'!N135+'дод. 3'!N18</f>
        <v>0</v>
      </c>
      <c r="N78" s="53">
        <f>'дод. 3'!O135+'дод. 3'!O18</f>
        <v>0</v>
      </c>
      <c r="O78" s="53">
        <f>'дод. 3'!P135+'дод. 3'!P18</f>
        <v>9592796</v>
      </c>
      <c r="P78" s="264"/>
      <c r="Q78" s="207"/>
      <c r="R78" s="207"/>
      <c r="S78" s="207"/>
      <c r="T78" s="207"/>
      <c r="U78" s="207"/>
      <c r="V78" s="207"/>
      <c r="W78" s="207"/>
      <c r="X78" s="207"/>
      <c r="Y78" s="207"/>
      <c r="Z78" s="207"/>
      <c r="AA78" s="207"/>
      <c r="AB78" s="207"/>
      <c r="AC78" s="207"/>
      <c r="AD78" s="207"/>
      <c r="AE78" s="207"/>
      <c r="AF78" s="207"/>
      <c r="AG78" s="207"/>
      <c r="AH78" s="207"/>
      <c r="AI78" s="207"/>
    </row>
    <row r="79" spans="1:35" s="8" customFormat="1" ht="43.5" customHeight="1">
      <c r="A79" s="7" t="s">
        <v>199</v>
      </c>
      <c r="B79" s="7" t="s">
        <v>89</v>
      </c>
      <c r="C79" s="14" t="s">
        <v>37</v>
      </c>
      <c r="D79" s="53">
        <f>'дод. 3'!E136+'дод. 3'!E19</f>
        <v>27258426</v>
      </c>
      <c r="E79" s="53">
        <f>'дод. 3'!F136+'дод. 3'!F19</f>
        <v>27258426</v>
      </c>
      <c r="F79" s="53">
        <f>'дод. 3'!G136+'дод. 3'!G19</f>
        <v>0</v>
      </c>
      <c r="G79" s="53">
        <f>'дод. 3'!H136+'дод. 3'!H19</f>
        <v>0</v>
      </c>
      <c r="H79" s="53">
        <f>'дод. 3'!I136+'дод. 3'!I19</f>
        <v>0</v>
      </c>
      <c r="I79" s="53">
        <f>'дод. 3'!J136+'дод. 3'!J19</f>
        <v>0</v>
      </c>
      <c r="J79" s="53">
        <f>'дод. 3'!K136+'дод. 3'!K19</f>
        <v>0</v>
      </c>
      <c r="K79" s="53">
        <f>'дод. 3'!L136+'дод. 3'!L19</f>
        <v>0</v>
      </c>
      <c r="L79" s="53">
        <f>'дод. 3'!M136+'дод. 3'!M19</f>
        <v>0</v>
      </c>
      <c r="M79" s="53">
        <f>'дод. 3'!N136+'дод. 3'!N19</f>
        <v>0</v>
      </c>
      <c r="N79" s="53">
        <f>'дод. 3'!O136+'дод. 3'!O19</f>
        <v>0</v>
      </c>
      <c r="O79" s="53">
        <f>'дод. 3'!P136+'дод. 3'!P19</f>
        <v>27258426</v>
      </c>
      <c r="P79" s="264"/>
      <c r="Q79" s="207"/>
      <c r="R79" s="207"/>
      <c r="S79" s="207"/>
      <c r="T79" s="207"/>
      <c r="U79" s="207"/>
      <c r="V79" s="207"/>
      <c r="W79" s="207"/>
      <c r="X79" s="207"/>
      <c r="Y79" s="207"/>
      <c r="Z79" s="207"/>
      <c r="AA79" s="207"/>
      <c r="AB79" s="207"/>
      <c r="AC79" s="207"/>
      <c r="AD79" s="207"/>
      <c r="AE79" s="207"/>
      <c r="AF79" s="207"/>
      <c r="AG79" s="207"/>
      <c r="AH79" s="207"/>
      <c r="AI79" s="207"/>
    </row>
    <row r="80" spans="1:35" ht="39" customHeight="1">
      <c r="A80" s="5" t="s">
        <v>535</v>
      </c>
      <c r="B80" s="5"/>
      <c r="C80" s="13" t="s">
        <v>543</v>
      </c>
      <c r="D80" s="52">
        <f aca="true" t="shared" si="19" ref="D80:O80">D82+D84+D86+D88+D90+D92+D94</f>
        <v>257256180</v>
      </c>
      <c r="E80" s="52">
        <f t="shared" si="19"/>
        <v>257256180</v>
      </c>
      <c r="F80" s="52">
        <f t="shared" si="19"/>
        <v>0</v>
      </c>
      <c r="G80" s="52">
        <f t="shared" si="19"/>
        <v>0</v>
      </c>
      <c r="H80" s="52">
        <f t="shared" si="19"/>
        <v>0</v>
      </c>
      <c r="I80" s="52">
        <f t="shared" si="19"/>
        <v>0</v>
      </c>
      <c r="J80" s="52">
        <f t="shared" si="19"/>
        <v>0</v>
      </c>
      <c r="K80" s="52">
        <f t="shared" si="19"/>
        <v>0</v>
      </c>
      <c r="L80" s="52">
        <f t="shared" si="19"/>
        <v>0</v>
      </c>
      <c r="M80" s="52">
        <f t="shared" si="19"/>
        <v>0</v>
      </c>
      <c r="N80" s="52">
        <f t="shared" si="19"/>
        <v>0</v>
      </c>
      <c r="O80" s="52">
        <f t="shared" si="19"/>
        <v>257256180</v>
      </c>
      <c r="P80" s="264"/>
      <c r="Q80" s="208"/>
      <c r="R80" s="208"/>
      <c r="S80" s="208"/>
      <c r="T80" s="208"/>
      <c r="U80" s="208"/>
      <c r="V80" s="208"/>
      <c r="W80" s="208"/>
      <c r="X80" s="208"/>
      <c r="Y80" s="208"/>
      <c r="Z80" s="208"/>
      <c r="AA80" s="208"/>
      <c r="AB80" s="208"/>
      <c r="AC80" s="208"/>
      <c r="AD80" s="208"/>
      <c r="AE80" s="208"/>
      <c r="AF80" s="208"/>
      <c r="AG80" s="208"/>
      <c r="AH80" s="208"/>
      <c r="AI80" s="208"/>
    </row>
    <row r="81" spans="2:35" ht="24" customHeight="1">
      <c r="B81" s="5"/>
      <c r="C81" s="13" t="s">
        <v>416</v>
      </c>
      <c r="D81" s="52">
        <f aca="true" t="shared" si="20" ref="D81:O81">D83+D85+D87+D89+D91+D93+D95</f>
        <v>257256180</v>
      </c>
      <c r="E81" s="52">
        <f t="shared" si="20"/>
        <v>257256180</v>
      </c>
      <c r="F81" s="52">
        <f t="shared" si="20"/>
        <v>0</v>
      </c>
      <c r="G81" s="52">
        <f t="shared" si="20"/>
        <v>0</v>
      </c>
      <c r="H81" s="52">
        <f t="shared" si="20"/>
        <v>0</v>
      </c>
      <c r="I81" s="52">
        <f t="shared" si="20"/>
        <v>0</v>
      </c>
      <c r="J81" s="52">
        <f t="shared" si="20"/>
        <v>0</v>
      </c>
      <c r="K81" s="52">
        <f t="shared" si="20"/>
        <v>0</v>
      </c>
      <c r="L81" s="52">
        <f t="shared" si="20"/>
        <v>0</v>
      </c>
      <c r="M81" s="52">
        <f t="shared" si="20"/>
        <v>0</v>
      </c>
      <c r="N81" s="52">
        <f t="shared" si="20"/>
        <v>0</v>
      </c>
      <c r="O81" s="52">
        <f t="shared" si="20"/>
        <v>257256180</v>
      </c>
      <c r="P81" s="264"/>
      <c r="Q81" s="208"/>
      <c r="R81" s="208"/>
      <c r="S81" s="208"/>
      <c r="T81" s="208"/>
      <c r="U81" s="208"/>
      <c r="V81" s="208"/>
      <c r="W81" s="208"/>
      <c r="X81" s="208"/>
      <c r="Y81" s="208"/>
      <c r="Z81" s="208"/>
      <c r="AA81" s="208"/>
      <c r="AB81" s="208"/>
      <c r="AC81" s="208"/>
      <c r="AD81" s="208"/>
      <c r="AE81" s="208"/>
      <c r="AF81" s="208"/>
      <c r="AG81" s="208"/>
      <c r="AH81" s="208"/>
      <c r="AI81" s="208"/>
    </row>
    <row r="82" spans="1:35" s="8" customFormat="1" ht="27" customHeight="1">
      <c r="A82" s="7" t="s">
        <v>536</v>
      </c>
      <c r="B82" s="7" t="s">
        <v>148</v>
      </c>
      <c r="C82" s="14" t="s">
        <v>544</v>
      </c>
      <c r="D82" s="53">
        <f>'дод. 3'!E139</f>
        <v>3598320</v>
      </c>
      <c r="E82" s="53">
        <f>'дод. 3'!F139</f>
        <v>3598320</v>
      </c>
      <c r="F82" s="53">
        <f>'дод. 3'!G139</f>
        <v>0</v>
      </c>
      <c r="G82" s="53">
        <f>'дод. 3'!H139</f>
        <v>0</v>
      </c>
      <c r="H82" s="53">
        <f>'дод. 3'!I139</f>
        <v>0</v>
      </c>
      <c r="I82" s="53">
        <f>'дод. 3'!J139</f>
        <v>0</v>
      </c>
      <c r="J82" s="53">
        <f>'дод. 3'!K139</f>
        <v>0</v>
      </c>
      <c r="K82" s="53">
        <f>'дод. 3'!L139</f>
        <v>0</v>
      </c>
      <c r="L82" s="53">
        <f>'дод. 3'!M139</f>
        <v>0</v>
      </c>
      <c r="M82" s="53">
        <f>'дод. 3'!N139</f>
        <v>0</v>
      </c>
      <c r="N82" s="53">
        <f>'дод. 3'!O139</f>
        <v>0</v>
      </c>
      <c r="O82" s="53">
        <f>'дод. 3'!P139</f>
        <v>3598320</v>
      </c>
      <c r="P82" s="264"/>
      <c r="Q82" s="209"/>
      <c r="R82" s="209"/>
      <c r="S82" s="209"/>
      <c r="T82" s="209"/>
      <c r="U82" s="209"/>
      <c r="V82" s="209"/>
      <c r="W82" s="209"/>
      <c r="X82" s="209"/>
      <c r="Y82" s="209"/>
      <c r="Z82" s="209"/>
      <c r="AA82" s="209"/>
      <c r="AB82" s="209"/>
      <c r="AC82" s="209"/>
      <c r="AD82" s="209"/>
      <c r="AE82" s="209"/>
      <c r="AF82" s="209"/>
      <c r="AG82" s="209"/>
      <c r="AH82" s="209"/>
      <c r="AI82" s="209"/>
    </row>
    <row r="83" spans="1:35" s="8" customFormat="1" ht="16.5" customHeight="1">
      <c r="A83" s="7"/>
      <c r="B83" s="7"/>
      <c r="C83" s="14" t="s">
        <v>416</v>
      </c>
      <c r="D83" s="53">
        <f>'дод. 3'!E140</f>
        <v>3598320</v>
      </c>
      <c r="E83" s="53">
        <f>'дод. 3'!F140</f>
        <v>3598320</v>
      </c>
      <c r="F83" s="53">
        <f>'дод. 3'!G140</f>
        <v>0</v>
      </c>
      <c r="G83" s="53">
        <f>'дод. 3'!H140</f>
        <v>0</v>
      </c>
      <c r="H83" s="53">
        <f>'дод. 3'!I140</f>
        <v>0</v>
      </c>
      <c r="I83" s="53">
        <f>'дод. 3'!J140</f>
        <v>0</v>
      </c>
      <c r="J83" s="53">
        <f>'дод. 3'!K140</f>
        <v>0</v>
      </c>
      <c r="K83" s="53">
        <f>'дод. 3'!L140</f>
        <v>0</v>
      </c>
      <c r="L83" s="53">
        <f>'дод. 3'!M140</f>
        <v>0</v>
      </c>
      <c r="M83" s="53">
        <f>'дод. 3'!N140</f>
        <v>0</v>
      </c>
      <c r="N83" s="53">
        <f>'дод. 3'!O140</f>
        <v>0</v>
      </c>
      <c r="O83" s="53">
        <f>'дод. 3'!P140</f>
        <v>3598320</v>
      </c>
      <c r="P83" s="264"/>
      <c r="Q83" s="209"/>
      <c r="R83" s="209"/>
      <c r="S83" s="209"/>
      <c r="T83" s="209"/>
      <c r="U83" s="209"/>
      <c r="V83" s="209"/>
      <c r="W83" s="209"/>
      <c r="X83" s="209"/>
      <c r="Y83" s="209"/>
      <c r="Z83" s="209"/>
      <c r="AA83" s="209"/>
      <c r="AB83" s="209"/>
      <c r="AC83" s="209"/>
      <c r="AD83" s="209"/>
      <c r="AE83" s="209"/>
      <c r="AF83" s="209"/>
      <c r="AG83" s="209"/>
      <c r="AH83" s="209"/>
      <c r="AI83" s="209"/>
    </row>
    <row r="84" spans="1:35" s="8" customFormat="1" ht="27" customHeight="1">
      <c r="A84" s="7" t="s">
        <v>537</v>
      </c>
      <c r="B84" s="7" t="s">
        <v>148</v>
      </c>
      <c r="C84" s="14" t="s">
        <v>545</v>
      </c>
      <c r="D84" s="53">
        <f>'дод. 3'!E141</f>
        <v>392160</v>
      </c>
      <c r="E84" s="53">
        <f>'дод. 3'!F141</f>
        <v>392160</v>
      </c>
      <c r="F84" s="53">
        <f>'дод. 3'!G141</f>
        <v>0</v>
      </c>
      <c r="G84" s="53">
        <f>'дод. 3'!H141</f>
        <v>0</v>
      </c>
      <c r="H84" s="53">
        <f>'дод. 3'!I141</f>
        <v>0</v>
      </c>
      <c r="I84" s="53">
        <f>'дод. 3'!J141</f>
        <v>0</v>
      </c>
      <c r="J84" s="53">
        <f>'дод. 3'!K141</f>
        <v>0</v>
      </c>
      <c r="K84" s="53">
        <f>'дод. 3'!L141</f>
        <v>0</v>
      </c>
      <c r="L84" s="53">
        <f>'дод. 3'!M141</f>
        <v>0</v>
      </c>
      <c r="M84" s="53">
        <f>'дод. 3'!N141</f>
        <v>0</v>
      </c>
      <c r="N84" s="53">
        <f>'дод. 3'!O141</f>
        <v>0</v>
      </c>
      <c r="O84" s="53">
        <f>'дод. 3'!P141</f>
        <v>392160</v>
      </c>
      <c r="P84" s="264"/>
      <c r="Q84" s="209"/>
      <c r="R84" s="209"/>
      <c r="S84" s="209"/>
      <c r="T84" s="209"/>
      <c r="U84" s="209"/>
      <c r="V84" s="209"/>
      <c r="W84" s="209"/>
      <c r="X84" s="209"/>
      <c r="Y84" s="209"/>
      <c r="Z84" s="209"/>
      <c r="AA84" s="209"/>
      <c r="AB84" s="209"/>
      <c r="AC84" s="209"/>
      <c r="AD84" s="209"/>
      <c r="AE84" s="209"/>
      <c r="AF84" s="209"/>
      <c r="AG84" s="209"/>
      <c r="AH84" s="209"/>
      <c r="AI84" s="209"/>
    </row>
    <row r="85" spans="1:35" s="8" customFormat="1" ht="15.75" customHeight="1">
      <c r="A85" s="7"/>
      <c r="B85" s="7"/>
      <c r="C85" s="14" t="s">
        <v>416</v>
      </c>
      <c r="D85" s="53">
        <f>'дод. 3'!E142</f>
        <v>392160</v>
      </c>
      <c r="E85" s="53">
        <f>'дод. 3'!F142</f>
        <v>392160</v>
      </c>
      <c r="F85" s="53">
        <f>'дод. 3'!G142</f>
        <v>0</v>
      </c>
      <c r="G85" s="53">
        <f>'дод. 3'!H142</f>
        <v>0</v>
      </c>
      <c r="H85" s="53">
        <f>'дод. 3'!I142</f>
        <v>0</v>
      </c>
      <c r="I85" s="53">
        <f>'дод. 3'!J142</f>
        <v>0</v>
      </c>
      <c r="J85" s="53">
        <f>'дод. 3'!K142</f>
        <v>0</v>
      </c>
      <c r="K85" s="53">
        <f>'дод. 3'!L142</f>
        <v>0</v>
      </c>
      <c r="L85" s="53">
        <f>'дод. 3'!M142</f>
        <v>0</v>
      </c>
      <c r="M85" s="53">
        <f>'дод. 3'!N142</f>
        <v>0</v>
      </c>
      <c r="N85" s="53">
        <f>'дод. 3'!O142</f>
        <v>0</v>
      </c>
      <c r="O85" s="53">
        <f>'дод. 3'!P142</f>
        <v>392160</v>
      </c>
      <c r="P85" s="264"/>
      <c r="Q85" s="209"/>
      <c r="R85" s="209"/>
      <c r="S85" s="209"/>
      <c r="T85" s="209"/>
      <c r="U85" s="209"/>
      <c r="V85" s="209"/>
      <c r="W85" s="209"/>
      <c r="X85" s="209"/>
      <c r="Y85" s="209"/>
      <c r="Z85" s="209"/>
      <c r="AA85" s="209"/>
      <c r="AB85" s="209"/>
      <c r="AC85" s="209"/>
      <c r="AD85" s="209"/>
      <c r="AE85" s="209"/>
      <c r="AF85" s="209"/>
      <c r="AG85" s="209"/>
      <c r="AH85" s="209"/>
      <c r="AI85" s="209"/>
    </row>
    <row r="86" spans="1:35" s="8" customFormat="1" ht="27" customHeight="1">
      <c r="A86" s="7" t="s">
        <v>538</v>
      </c>
      <c r="B86" s="7" t="s">
        <v>148</v>
      </c>
      <c r="C86" s="14" t="s">
        <v>546</v>
      </c>
      <c r="D86" s="53">
        <f>'дод. 3'!E143</f>
        <v>134165700</v>
      </c>
      <c r="E86" s="53">
        <f>'дод. 3'!F143</f>
        <v>134165700</v>
      </c>
      <c r="F86" s="53">
        <f>'дод. 3'!G143</f>
        <v>0</v>
      </c>
      <c r="G86" s="53">
        <f>'дод. 3'!H143</f>
        <v>0</v>
      </c>
      <c r="H86" s="53">
        <f>'дод. 3'!I143</f>
        <v>0</v>
      </c>
      <c r="I86" s="53">
        <f>'дод. 3'!J143</f>
        <v>0</v>
      </c>
      <c r="J86" s="53">
        <f>'дод. 3'!K143</f>
        <v>0</v>
      </c>
      <c r="K86" s="53">
        <f>'дод. 3'!L143</f>
        <v>0</v>
      </c>
      <c r="L86" s="53">
        <f>'дод. 3'!M143</f>
        <v>0</v>
      </c>
      <c r="M86" s="53">
        <f>'дод. 3'!N143</f>
        <v>0</v>
      </c>
      <c r="N86" s="53">
        <f>'дод. 3'!O143</f>
        <v>0</v>
      </c>
      <c r="O86" s="53">
        <f>'дод. 3'!P143</f>
        <v>134165700</v>
      </c>
      <c r="P86" s="264"/>
      <c r="Q86" s="209"/>
      <c r="R86" s="209"/>
      <c r="S86" s="209"/>
      <c r="T86" s="209"/>
      <c r="U86" s="209"/>
      <c r="V86" s="209"/>
      <c r="W86" s="209"/>
      <c r="X86" s="209"/>
      <c r="Y86" s="209"/>
      <c r="Z86" s="209"/>
      <c r="AA86" s="209"/>
      <c r="AB86" s="209"/>
      <c r="AC86" s="209"/>
      <c r="AD86" s="209"/>
      <c r="AE86" s="209"/>
      <c r="AF86" s="209"/>
      <c r="AG86" s="209"/>
      <c r="AH86" s="209"/>
      <c r="AI86" s="209"/>
    </row>
    <row r="87" spans="1:35" s="8" customFormat="1" ht="16.5" customHeight="1">
      <c r="A87" s="7"/>
      <c r="B87" s="7"/>
      <c r="C87" s="14" t="s">
        <v>416</v>
      </c>
      <c r="D87" s="53">
        <f>'дод. 3'!E144</f>
        <v>134165700</v>
      </c>
      <c r="E87" s="53">
        <f>'дод. 3'!F144</f>
        <v>134165700</v>
      </c>
      <c r="F87" s="53">
        <f>'дод. 3'!G144</f>
        <v>0</v>
      </c>
      <c r="G87" s="53">
        <f>'дод. 3'!H144</f>
        <v>0</v>
      </c>
      <c r="H87" s="53">
        <f>'дод. 3'!I144</f>
        <v>0</v>
      </c>
      <c r="I87" s="53">
        <f>'дод. 3'!J144</f>
        <v>0</v>
      </c>
      <c r="J87" s="53">
        <f>'дод. 3'!K144</f>
        <v>0</v>
      </c>
      <c r="K87" s="53">
        <f>'дод. 3'!L144</f>
        <v>0</v>
      </c>
      <c r="L87" s="53">
        <f>'дод. 3'!M144</f>
        <v>0</v>
      </c>
      <c r="M87" s="53">
        <f>'дод. 3'!N144</f>
        <v>0</v>
      </c>
      <c r="N87" s="53">
        <f>'дод. 3'!O144</f>
        <v>0</v>
      </c>
      <c r="O87" s="53">
        <f>'дод. 3'!P144</f>
        <v>134165700</v>
      </c>
      <c r="P87" s="264"/>
      <c r="Q87" s="209"/>
      <c r="R87" s="209"/>
      <c r="S87" s="209"/>
      <c r="T87" s="209"/>
      <c r="U87" s="209"/>
      <c r="V87" s="209"/>
      <c r="W87" s="209"/>
      <c r="X87" s="209"/>
      <c r="Y87" s="209"/>
      <c r="Z87" s="209"/>
      <c r="AA87" s="209"/>
      <c r="AB87" s="209"/>
      <c r="AC87" s="209"/>
      <c r="AD87" s="209"/>
      <c r="AE87" s="209"/>
      <c r="AF87" s="209"/>
      <c r="AG87" s="209"/>
      <c r="AH87" s="209"/>
      <c r="AI87" s="209"/>
    </row>
    <row r="88" spans="1:35" s="8" customFormat="1" ht="36" customHeight="1">
      <c r="A88" s="7" t="s">
        <v>539</v>
      </c>
      <c r="B88" s="7" t="s">
        <v>148</v>
      </c>
      <c r="C88" s="14" t="s">
        <v>547</v>
      </c>
      <c r="D88" s="53">
        <f>'дод. 3'!E145</f>
        <v>10265200</v>
      </c>
      <c r="E88" s="53">
        <f>'дод. 3'!F145</f>
        <v>10265200</v>
      </c>
      <c r="F88" s="53">
        <f>'дод. 3'!G145</f>
        <v>0</v>
      </c>
      <c r="G88" s="53">
        <f>'дод. 3'!H145</f>
        <v>0</v>
      </c>
      <c r="H88" s="53">
        <f>'дод. 3'!I145</f>
        <v>0</v>
      </c>
      <c r="I88" s="53">
        <f>'дод. 3'!J145</f>
        <v>0</v>
      </c>
      <c r="J88" s="53">
        <f>'дод. 3'!K145</f>
        <v>0</v>
      </c>
      <c r="K88" s="53">
        <f>'дод. 3'!L145</f>
        <v>0</v>
      </c>
      <c r="L88" s="53">
        <f>'дод. 3'!M145</f>
        <v>0</v>
      </c>
      <c r="M88" s="53">
        <f>'дод. 3'!N145</f>
        <v>0</v>
      </c>
      <c r="N88" s="53">
        <f>'дод. 3'!O145</f>
        <v>0</v>
      </c>
      <c r="O88" s="53">
        <f>'дод. 3'!P145</f>
        <v>10265200</v>
      </c>
      <c r="P88" s="264"/>
      <c r="Q88" s="209"/>
      <c r="R88" s="209"/>
      <c r="S88" s="209"/>
      <c r="T88" s="209"/>
      <c r="U88" s="209"/>
      <c r="V88" s="209"/>
      <c r="W88" s="209"/>
      <c r="X88" s="209"/>
      <c r="Y88" s="209"/>
      <c r="Z88" s="209"/>
      <c r="AA88" s="209"/>
      <c r="AB88" s="209"/>
      <c r="AC88" s="209"/>
      <c r="AD88" s="209"/>
      <c r="AE88" s="209"/>
      <c r="AF88" s="209"/>
      <c r="AG88" s="209"/>
      <c r="AH88" s="209"/>
      <c r="AI88" s="209"/>
    </row>
    <row r="89" spans="1:35" s="8" customFormat="1" ht="15" customHeight="1">
      <c r="A89" s="7"/>
      <c r="B89" s="7"/>
      <c r="C89" s="14" t="s">
        <v>416</v>
      </c>
      <c r="D89" s="53">
        <f>'дод. 3'!E146</f>
        <v>10265200</v>
      </c>
      <c r="E89" s="53">
        <f>'дод. 3'!F146</f>
        <v>10265200</v>
      </c>
      <c r="F89" s="53">
        <f>'дод. 3'!G146</f>
        <v>0</v>
      </c>
      <c r="G89" s="53">
        <f>'дод. 3'!H146</f>
        <v>0</v>
      </c>
      <c r="H89" s="53">
        <f>'дод. 3'!I146</f>
        <v>0</v>
      </c>
      <c r="I89" s="53">
        <f>'дод. 3'!J146</f>
        <v>0</v>
      </c>
      <c r="J89" s="53">
        <f>'дод. 3'!K146</f>
        <v>0</v>
      </c>
      <c r="K89" s="53">
        <f>'дод. 3'!L146</f>
        <v>0</v>
      </c>
      <c r="L89" s="53">
        <f>'дод. 3'!M146</f>
        <v>0</v>
      </c>
      <c r="M89" s="53">
        <f>'дод. 3'!N146</f>
        <v>0</v>
      </c>
      <c r="N89" s="53">
        <f>'дод. 3'!O146</f>
        <v>0</v>
      </c>
      <c r="O89" s="53">
        <f>'дод. 3'!P146</f>
        <v>10265200</v>
      </c>
      <c r="P89" s="264"/>
      <c r="Q89" s="209"/>
      <c r="R89" s="209"/>
      <c r="S89" s="209"/>
      <c r="T89" s="209"/>
      <c r="U89" s="209"/>
      <c r="V89" s="209"/>
      <c r="W89" s="209"/>
      <c r="X89" s="209"/>
      <c r="Y89" s="209"/>
      <c r="Z89" s="209"/>
      <c r="AA89" s="209"/>
      <c r="AB89" s="209"/>
      <c r="AC89" s="209"/>
      <c r="AD89" s="209"/>
      <c r="AE89" s="209"/>
      <c r="AF89" s="209"/>
      <c r="AG89" s="209"/>
      <c r="AH89" s="209"/>
      <c r="AI89" s="209"/>
    </row>
    <row r="90" spans="1:35" s="8" customFormat="1" ht="27" customHeight="1">
      <c r="A90" s="7" t="s">
        <v>540</v>
      </c>
      <c r="B90" s="7" t="s">
        <v>148</v>
      </c>
      <c r="C90" s="14" t="s">
        <v>548</v>
      </c>
      <c r="D90" s="53">
        <f>'дод. 3'!E147</f>
        <v>50558840</v>
      </c>
      <c r="E90" s="53">
        <f>'дод. 3'!F147</f>
        <v>50558840</v>
      </c>
      <c r="F90" s="53">
        <f>'дод. 3'!G147</f>
        <v>0</v>
      </c>
      <c r="G90" s="53">
        <f>'дод. 3'!H147</f>
        <v>0</v>
      </c>
      <c r="H90" s="53">
        <f>'дод. 3'!I147</f>
        <v>0</v>
      </c>
      <c r="I90" s="53">
        <f>'дод. 3'!J147</f>
        <v>0</v>
      </c>
      <c r="J90" s="53">
        <f>'дод. 3'!K147</f>
        <v>0</v>
      </c>
      <c r="K90" s="53">
        <f>'дод. 3'!L147</f>
        <v>0</v>
      </c>
      <c r="L90" s="53">
        <f>'дод. 3'!M147</f>
        <v>0</v>
      </c>
      <c r="M90" s="53">
        <f>'дод. 3'!N147</f>
        <v>0</v>
      </c>
      <c r="N90" s="53">
        <f>'дод. 3'!O147</f>
        <v>0</v>
      </c>
      <c r="O90" s="53">
        <f>'дод. 3'!P147</f>
        <v>50558840</v>
      </c>
      <c r="P90" s="264"/>
      <c r="Q90" s="209"/>
      <c r="R90" s="209"/>
      <c r="S90" s="209"/>
      <c r="T90" s="209"/>
      <c r="U90" s="209"/>
      <c r="V90" s="209"/>
      <c r="W90" s="209"/>
      <c r="X90" s="209"/>
      <c r="Y90" s="209"/>
      <c r="Z90" s="209"/>
      <c r="AA90" s="209"/>
      <c r="AB90" s="209"/>
      <c r="AC90" s="209"/>
      <c r="AD90" s="209"/>
      <c r="AE90" s="209"/>
      <c r="AF90" s="209"/>
      <c r="AG90" s="209"/>
      <c r="AH90" s="209"/>
      <c r="AI90" s="209"/>
    </row>
    <row r="91" spans="1:35" s="8" customFormat="1" ht="17.25" customHeight="1">
      <c r="A91" s="7"/>
      <c r="B91" s="7"/>
      <c r="C91" s="14" t="s">
        <v>416</v>
      </c>
      <c r="D91" s="53">
        <f>'дод. 3'!E148</f>
        <v>50558840</v>
      </c>
      <c r="E91" s="53">
        <f>'дод. 3'!F148</f>
        <v>50558840</v>
      </c>
      <c r="F91" s="53">
        <f>'дод. 3'!G148</f>
        <v>0</v>
      </c>
      <c r="G91" s="53">
        <f>'дод. 3'!H148</f>
        <v>0</v>
      </c>
      <c r="H91" s="53">
        <f>'дод. 3'!I148</f>
        <v>0</v>
      </c>
      <c r="I91" s="53">
        <f>'дод. 3'!J148</f>
        <v>0</v>
      </c>
      <c r="J91" s="53">
        <f>'дод. 3'!K148</f>
        <v>0</v>
      </c>
      <c r="K91" s="53">
        <f>'дод. 3'!L148</f>
        <v>0</v>
      </c>
      <c r="L91" s="53">
        <f>'дод. 3'!M148</f>
        <v>0</v>
      </c>
      <c r="M91" s="53">
        <f>'дод. 3'!N148</f>
        <v>0</v>
      </c>
      <c r="N91" s="53">
        <f>'дод. 3'!O148</f>
        <v>0</v>
      </c>
      <c r="O91" s="53">
        <f>'дод. 3'!P148</f>
        <v>50558840</v>
      </c>
      <c r="P91" s="264"/>
      <c r="Q91" s="209"/>
      <c r="R91" s="209"/>
      <c r="S91" s="209"/>
      <c r="T91" s="209"/>
      <c r="U91" s="209"/>
      <c r="V91" s="209"/>
      <c r="W91" s="209"/>
      <c r="X91" s="209"/>
      <c r="Y91" s="209"/>
      <c r="Z91" s="209"/>
      <c r="AA91" s="209"/>
      <c r="AB91" s="209"/>
      <c r="AC91" s="209"/>
      <c r="AD91" s="209"/>
      <c r="AE91" s="209"/>
      <c r="AF91" s="209"/>
      <c r="AG91" s="209"/>
      <c r="AH91" s="209"/>
      <c r="AI91" s="209"/>
    </row>
    <row r="92" spans="1:35" s="8" customFormat="1" ht="27" customHeight="1">
      <c r="A92" s="7" t="s">
        <v>541</v>
      </c>
      <c r="B92" s="7" t="s">
        <v>148</v>
      </c>
      <c r="C92" s="14" t="s">
        <v>549</v>
      </c>
      <c r="D92" s="53">
        <f>'дод. 3'!E149</f>
        <v>2245360</v>
      </c>
      <c r="E92" s="53">
        <f>'дод. 3'!F149</f>
        <v>2245360</v>
      </c>
      <c r="F92" s="53">
        <f>'дод. 3'!G149</f>
        <v>0</v>
      </c>
      <c r="G92" s="53">
        <f>'дод. 3'!H149</f>
        <v>0</v>
      </c>
      <c r="H92" s="53">
        <f>'дод. 3'!I149</f>
        <v>0</v>
      </c>
      <c r="I92" s="53">
        <f>'дод. 3'!J149</f>
        <v>0</v>
      </c>
      <c r="J92" s="53">
        <f>'дод. 3'!K149</f>
        <v>0</v>
      </c>
      <c r="K92" s="53">
        <f>'дод. 3'!L149</f>
        <v>0</v>
      </c>
      <c r="L92" s="53">
        <f>'дод. 3'!M149</f>
        <v>0</v>
      </c>
      <c r="M92" s="53">
        <f>'дод. 3'!N149</f>
        <v>0</v>
      </c>
      <c r="N92" s="53">
        <f>'дод. 3'!O149</f>
        <v>0</v>
      </c>
      <c r="O92" s="53">
        <f>'дод. 3'!P149</f>
        <v>2245360</v>
      </c>
      <c r="P92" s="264"/>
      <c r="Q92" s="209"/>
      <c r="R92" s="209"/>
      <c r="S92" s="209"/>
      <c r="T92" s="209"/>
      <c r="U92" s="209"/>
      <c r="V92" s="209"/>
      <c r="W92" s="209"/>
      <c r="X92" s="209"/>
      <c r="Y92" s="209"/>
      <c r="Z92" s="209"/>
      <c r="AA92" s="209"/>
      <c r="AB92" s="209"/>
      <c r="AC92" s="209"/>
      <c r="AD92" s="209"/>
      <c r="AE92" s="209"/>
      <c r="AF92" s="209"/>
      <c r="AG92" s="209"/>
      <c r="AH92" s="209"/>
      <c r="AI92" s="209"/>
    </row>
    <row r="93" spans="1:35" s="8" customFormat="1" ht="16.5" customHeight="1">
      <c r="A93" s="7"/>
      <c r="B93" s="7"/>
      <c r="C93" s="14" t="s">
        <v>416</v>
      </c>
      <c r="D93" s="53">
        <f>'дод. 3'!E150</f>
        <v>2245360</v>
      </c>
      <c r="E93" s="53">
        <f>'дод. 3'!F150</f>
        <v>2245360</v>
      </c>
      <c r="F93" s="53">
        <f>'дод. 3'!G150</f>
        <v>0</v>
      </c>
      <c r="G93" s="53">
        <f>'дод. 3'!H150</f>
        <v>0</v>
      </c>
      <c r="H93" s="53">
        <f>'дод. 3'!I150</f>
        <v>0</v>
      </c>
      <c r="I93" s="53">
        <f>'дод. 3'!J150</f>
        <v>0</v>
      </c>
      <c r="J93" s="53">
        <f>'дод. 3'!K150</f>
        <v>0</v>
      </c>
      <c r="K93" s="53">
        <f>'дод. 3'!L150</f>
        <v>0</v>
      </c>
      <c r="L93" s="53">
        <f>'дод. 3'!M150</f>
        <v>0</v>
      </c>
      <c r="M93" s="53">
        <f>'дод. 3'!N150</f>
        <v>0</v>
      </c>
      <c r="N93" s="53">
        <f>'дод. 3'!O150</f>
        <v>0</v>
      </c>
      <c r="O93" s="53">
        <f>'дод. 3'!P150</f>
        <v>2245360</v>
      </c>
      <c r="P93" s="264"/>
      <c r="Q93" s="209"/>
      <c r="R93" s="209"/>
      <c r="S93" s="209"/>
      <c r="T93" s="209"/>
      <c r="U93" s="209"/>
      <c r="V93" s="209"/>
      <c r="W93" s="209"/>
      <c r="X93" s="209"/>
      <c r="Y93" s="209"/>
      <c r="Z93" s="209"/>
      <c r="AA93" s="209"/>
      <c r="AB93" s="209"/>
      <c r="AC93" s="209"/>
      <c r="AD93" s="209"/>
      <c r="AE93" s="209"/>
      <c r="AF93" s="209"/>
      <c r="AG93" s="209"/>
      <c r="AH93" s="209"/>
      <c r="AI93" s="209"/>
    </row>
    <row r="94" spans="1:35" s="8" customFormat="1" ht="32.25" customHeight="1">
      <c r="A94" s="7" t="s">
        <v>542</v>
      </c>
      <c r="B94" s="7" t="s">
        <v>148</v>
      </c>
      <c r="C94" s="14" t="s">
        <v>550</v>
      </c>
      <c r="D94" s="53">
        <f>'дод. 3'!E151</f>
        <v>56030600</v>
      </c>
      <c r="E94" s="53">
        <f>'дод. 3'!F151</f>
        <v>56030600</v>
      </c>
      <c r="F94" s="53">
        <f>'дод. 3'!G151</f>
        <v>0</v>
      </c>
      <c r="G94" s="53">
        <f>'дод. 3'!H151</f>
        <v>0</v>
      </c>
      <c r="H94" s="53">
        <f>'дод. 3'!I151</f>
        <v>0</v>
      </c>
      <c r="I94" s="53">
        <f>'дод. 3'!J151</f>
        <v>0</v>
      </c>
      <c r="J94" s="53">
        <f>'дод. 3'!K151</f>
        <v>0</v>
      </c>
      <c r="K94" s="53">
        <f>'дод. 3'!L151</f>
        <v>0</v>
      </c>
      <c r="L94" s="53">
        <f>'дод. 3'!M151</f>
        <v>0</v>
      </c>
      <c r="M94" s="53">
        <f>'дод. 3'!N151</f>
        <v>0</v>
      </c>
      <c r="N94" s="53">
        <f>'дод. 3'!O151</f>
        <v>0</v>
      </c>
      <c r="O94" s="53">
        <f>'дод. 3'!P151</f>
        <v>56030600</v>
      </c>
      <c r="P94" s="264"/>
      <c r="Q94" s="209"/>
      <c r="R94" s="209"/>
      <c r="S94" s="209"/>
      <c r="T94" s="209"/>
      <c r="U94" s="209"/>
      <c r="V94" s="209"/>
      <c r="W94" s="209"/>
      <c r="X94" s="209"/>
      <c r="Y94" s="209"/>
      <c r="Z94" s="209"/>
      <c r="AA94" s="209"/>
      <c r="AB94" s="209"/>
      <c r="AC94" s="209"/>
      <c r="AD94" s="209"/>
      <c r="AE94" s="209"/>
      <c r="AF94" s="209"/>
      <c r="AG94" s="209"/>
      <c r="AH94" s="209"/>
      <c r="AI94" s="209"/>
    </row>
    <row r="95" spans="1:35" s="8" customFormat="1" ht="22.5" customHeight="1">
      <c r="A95" s="7"/>
      <c r="B95" s="7"/>
      <c r="C95" s="14" t="s">
        <v>416</v>
      </c>
      <c r="D95" s="53">
        <f>'дод. 3'!E152</f>
        <v>56030600</v>
      </c>
      <c r="E95" s="53">
        <f>'дод. 3'!F152</f>
        <v>56030600</v>
      </c>
      <c r="F95" s="53">
        <f>'дод. 3'!G152</f>
        <v>0</v>
      </c>
      <c r="G95" s="53">
        <f>'дод. 3'!H152</f>
        <v>0</v>
      </c>
      <c r="H95" s="53">
        <f>'дод. 3'!I152</f>
        <v>0</v>
      </c>
      <c r="I95" s="53">
        <f>'дод. 3'!J152</f>
        <v>0</v>
      </c>
      <c r="J95" s="53">
        <f>'дод. 3'!K152</f>
        <v>0</v>
      </c>
      <c r="K95" s="53">
        <f>'дод. 3'!L152</f>
        <v>0</v>
      </c>
      <c r="L95" s="53">
        <f>'дод. 3'!M152</f>
        <v>0</v>
      </c>
      <c r="M95" s="53">
        <f>'дод. 3'!N152</f>
        <v>0</v>
      </c>
      <c r="N95" s="53">
        <f>'дод. 3'!O152</f>
        <v>0</v>
      </c>
      <c r="O95" s="53">
        <f>'дод. 3'!P152</f>
        <v>56030600</v>
      </c>
      <c r="P95" s="264"/>
      <c r="Q95" s="209"/>
      <c r="R95" s="209"/>
      <c r="S95" s="209"/>
      <c r="T95" s="209"/>
      <c r="U95" s="209"/>
      <c r="V95" s="209"/>
      <c r="W95" s="209"/>
      <c r="X95" s="209"/>
      <c r="Y95" s="209"/>
      <c r="Z95" s="209"/>
      <c r="AA95" s="209"/>
      <c r="AB95" s="209"/>
      <c r="AC95" s="209"/>
      <c r="AD95" s="209"/>
      <c r="AE95" s="209"/>
      <c r="AF95" s="209"/>
      <c r="AG95" s="209"/>
      <c r="AH95" s="209"/>
      <c r="AI95" s="209"/>
    </row>
    <row r="96" spans="1:35" ht="40.5" customHeight="1">
      <c r="A96" s="5" t="s">
        <v>149</v>
      </c>
      <c r="B96" s="5" t="s">
        <v>89</v>
      </c>
      <c r="C96" s="13" t="s">
        <v>56</v>
      </c>
      <c r="D96" s="52">
        <f>'дод. 3'!E153</f>
        <v>1203435</v>
      </c>
      <c r="E96" s="52">
        <f>'дод. 3'!F153</f>
        <v>1203435</v>
      </c>
      <c r="F96" s="52">
        <f>'дод. 3'!G153</f>
        <v>0</v>
      </c>
      <c r="G96" s="52">
        <f>'дод. 3'!H153</f>
        <v>0</v>
      </c>
      <c r="H96" s="52">
        <f>'дод. 3'!I153</f>
        <v>0</v>
      </c>
      <c r="I96" s="52">
        <f>'дод. 3'!J153</f>
        <v>0</v>
      </c>
      <c r="J96" s="52">
        <f>'дод. 3'!K153</f>
        <v>0</v>
      </c>
      <c r="K96" s="52">
        <f>'дод. 3'!L153</f>
        <v>0</v>
      </c>
      <c r="L96" s="52">
        <f>'дод. 3'!M153</f>
        <v>0</v>
      </c>
      <c r="M96" s="52">
        <f>'дод. 3'!N153</f>
        <v>0</v>
      </c>
      <c r="N96" s="52">
        <f>'дод. 3'!O153</f>
        <v>0</v>
      </c>
      <c r="O96" s="52">
        <f>'дод. 3'!P153</f>
        <v>1203435</v>
      </c>
      <c r="P96" s="264"/>
      <c r="Q96" s="205"/>
      <c r="R96" s="205"/>
      <c r="S96" s="205"/>
      <c r="T96" s="205"/>
      <c r="U96" s="205"/>
      <c r="V96" s="205"/>
      <c r="W96" s="205"/>
      <c r="X96" s="205"/>
      <c r="Y96" s="205"/>
      <c r="Z96" s="205"/>
      <c r="AA96" s="205"/>
      <c r="AB96" s="205"/>
      <c r="AC96" s="205"/>
      <c r="AD96" s="205"/>
      <c r="AE96" s="205"/>
      <c r="AF96" s="205"/>
      <c r="AG96" s="205"/>
      <c r="AH96" s="205"/>
      <c r="AI96" s="205"/>
    </row>
    <row r="97" spans="1:35" ht="151.5" customHeight="1">
      <c r="A97" s="5" t="s">
        <v>559</v>
      </c>
      <c r="B97" s="5"/>
      <c r="C97" s="13" t="s">
        <v>565</v>
      </c>
      <c r="D97" s="52">
        <f aca="true" t="shared" si="21" ref="D97:O97">D99+D101+D103+D105+D107</f>
        <v>97227520</v>
      </c>
      <c r="E97" s="52">
        <f t="shared" si="21"/>
        <v>97227520</v>
      </c>
      <c r="F97" s="52">
        <f t="shared" si="21"/>
        <v>0</v>
      </c>
      <c r="G97" s="52">
        <f t="shared" si="21"/>
        <v>0</v>
      </c>
      <c r="H97" s="52">
        <f t="shared" si="21"/>
        <v>0</v>
      </c>
      <c r="I97" s="52">
        <f t="shared" si="21"/>
        <v>0</v>
      </c>
      <c r="J97" s="52">
        <f t="shared" si="21"/>
        <v>0</v>
      </c>
      <c r="K97" s="52">
        <f t="shared" si="21"/>
        <v>0</v>
      </c>
      <c r="L97" s="52">
        <f t="shared" si="21"/>
        <v>0</v>
      </c>
      <c r="M97" s="52">
        <f t="shared" si="21"/>
        <v>0</v>
      </c>
      <c r="N97" s="52">
        <f t="shared" si="21"/>
        <v>0</v>
      </c>
      <c r="O97" s="52">
        <f t="shared" si="21"/>
        <v>97227520</v>
      </c>
      <c r="P97" s="264"/>
      <c r="Q97" s="208"/>
      <c r="R97" s="208"/>
      <c r="S97" s="208"/>
      <c r="T97" s="208"/>
      <c r="U97" s="208"/>
      <c r="V97" s="208"/>
      <c r="W97" s="208"/>
      <c r="X97" s="208"/>
      <c r="Y97" s="208"/>
      <c r="Z97" s="208"/>
      <c r="AA97" s="208"/>
      <c r="AB97" s="208"/>
      <c r="AC97" s="208"/>
      <c r="AD97" s="208"/>
      <c r="AE97" s="208"/>
      <c r="AF97" s="208"/>
      <c r="AG97" s="208"/>
      <c r="AH97" s="208"/>
      <c r="AI97" s="208"/>
    </row>
    <row r="98" spans="2:35" ht="27" customHeight="1">
      <c r="B98" s="5"/>
      <c r="C98" s="13" t="s">
        <v>416</v>
      </c>
      <c r="D98" s="52">
        <f aca="true" t="shared" si="22" ref="D98:O98">D100+D102+D104+D106+D108</f>
        <v>97227520</v>
      </c>
      <c r="E98" s="52">
        <f t="shared" si="22"/>
        <v>97227520</v>
      </c>
      <c r="F98" s="52">
        <f t="shared" si="22"/>
        <v>0</v>
      </c>
      <c r="G98" s="52">
        <f t="shared" si="22"/>
        <v>0</v>
      </c>
      <c r="H98" s="52">
        <f t="shared" si="22"/>
        <v>0</v>
      </c>
      <c r="I98" s="52">
        <f t="shared" si="22"/>
        <v>0</v>
      </c>
      <c r="J98" s="52">
        <f t="shared" si="22"/>
        <v>0</v>
      </c>
      <c r="K98" s="52">
        <f t="shared" si="22"/>
        <v>0</v>
      </c>
      <c r="L98" s="52">
        <f t="shared" si="22"/>
        <v>0</v>
      </c>
      <c r="M98" s="52">
        <f t="shared" si="22"/>
        <v>0</v>
      </c>
      <c r="N98" s="52">
        <f t="shared" si="22"/>
        <v>0</v>
      </c>
      <c r="O98" s="52">
        <f t="shared" si="22"/>
        <v>97227520</v>
      </c>
      <c r="P98" s="264"/>
      <c r="Q98" s="208"/>
      <c r="R98" s="208"/>
      <c r="S98" s="208"/>
      <c r="T98" s="208"/>
      <c r="U98" s="208"/>
      <c r="V98" s="208"/>
      <c r="W98" s="208"/>
      <c r="X98" s="208"/>
      <c r="Y98" s="208"/>
      <c r="Z98" s="208"/>
      <c r="AA98" s="208"/>
      <c r="AB98" s="208"/>
      <c r="AC98" s="208"/>
      <c r="AD98" s="208"/>
      <c r="AE98" s="208"/>
      <c r="AF98" s="208"/>
      <c r="AG98" s="208"/>
      <c r="AH98" s="208"/>
      <c r="AI98" s="208"/>
    </row>
    <row r="99" spans="1:35" s="8" customFormat="1" ht="40.5" customHeight="1">
      <c r="A99" s="7" t="s">
        <v>560</v>
      </c>
      <c r="B99" s="7" t="s">
        <v>83</v>
      </c>
      <c r="C99" s="14" t="s">
        <v>568</v>
      </c>
      <c r="D99" s="53">
        <f>'дод. 3'!E156</f>
        <v>62044050</v>
      </c>
      <c r="E99" s="53">
        <f>'дод. 3'!F156</f>
        <v>62044050</v>
      </c>
      <c r="F99" s="53">
        <f>'дод. 3'!G156</f>
        <v>0</v>
      </c>
      <c r="G99" s="53">
        <f>'дод. 3'!H156</f>
        <v>0</v>
      </c>
      <c r="H99" s="53">
        <f>'дод. 3'!I156</f>
        <v>0</v>
      </c>
      <c r="I99" s="53">
        <f>'дод. 3'!J156</f>
        <v>0</v>
      </c>
      <c r="J99" s="53">
        <f>'дод. 3'!K156</f>
        <v>0</v>
      </c>
      <c r="K99" s="53">
        <f>'дод. 3'!L156</f>
        <v>0</v>
      </c>
      <c r="L99" s="53">
        <f>'дод. 3'!M156</f>
        <v>0</v>
      </c>
      <c r="M99" s="53">
        <f>'дод. 3'!N156</f>
        <v>0</v>
      </c>
      <c r="N99" s="53">
        <f>'дод. 3'!O156</f>
        <v>0</v>
      </c>
      <c r="O99" s="53">
        <f>'дод. 3'!P156</f>
        <v>62044050</v>
      </c>
      <c r="P99" s="264"/>
      <c r="Q99" s="209"/>
      <c r="R99" s="209"/>
      <c r="S99" s="209"/>
      <c r="T99" s="209"/>
      <c r="U99" s="209"/>
      <c r="V99" s="209"/>
      <c r="W99" s="209"/>
      <c r="X99" s="209"/>
      <c r="Y99" s="209"/>
      <c r="Z99" s="209"/>
      <c r="AA99" s="209"/>
      <c r="AB99" s="209"/>
      <c r="AC99" s="209"/>
      <c r="AD99" s="209"/>
      <c r="AE99" s="209"/>
      <c r="AF99" s="209"/>
      <c r="AG99" s="209"/>
      <c r="AH99" s="209"/>
      <c r="AI99" s="209"/>
    </row>
    <row r="100" spans="1:35" s="8" customFormat="1" ht="27" customHeight="1">
      <c r="A100" s="7"/>
      <c r="B100" s="7"/>
      <c r="C100" s="14" t="s">
        <v>416</v>
      </c>
      <c r="D100" s="53">
        <f>'дод. 3'!E157</f>
        <v>62044050</v>
      </c>
      <c r="E100" s="53">
        <f>'дод. 3'!F157</f>
        <v>62044050</v>
      </c>
      <c r="F100" s="53">
        <f>'дод. 3'!G157</f>
        <v>0</v>
      </c>
      <c r="G100" s="53">
        <f>'дод. 3'!H157</f>
        <v>0</v>
      </c>
      <c r="H100" s="53">
        <f>'дод. 3'!I157</f>
        <v>0</v>
      </c>
      <c r="I100" s="53">
        <f>'дод. 3'!J157</f>
        <v>0</v>
      </c>
      <c r="J100" s="53">
        <f>'дод. 3'!K157</f>
        <v>0</v>
      </c>
      <c r="K100" s="53">
        <f>'дод. 3'!L157</f>
        <v>0</v>
      </c>
      <c r="L100" s="53">
        <f>'дод. 3'!M157</f>
        <v>0</v>
      </c>
      <c r="M100" s="53">
        <f>'дод. 3'!N157</f>
        <v>0</v>
      </c>
      <c r="N100" s="53">
        <f>'дод. 3'!O157</f>
        <v>0</v>
      </c>
      <c r="O100" s="53">
        <f>'дод. 3'!P157</f>
        <v>62044050</v>
      </c>
      <c r="P100" s="264"/>
      <c r="Q100" s="209"/>
      <c r="R100" s="209"/>
      <c r="S100" s="209"/>
      <c r="T100" s="209"/>
      <c r="U100" s="209"/>
      <c r="V100" s="209"/>
      <c r="W100" s="209"/>
      <c r="X100" s="209"/>
      <c r="Y100" s="209"/>
      <c r="Z100" s="209"/>
      <c r="AA100" s="209"/>
      <c r="AB100" s="209"/>
      <c r="AC100" s="209"/>
      <c r="AD100" s="209"/>
      <c r="AE100" s="209"/>
      <c r="AF100" s="209"/>
      <c r="AG100" s="209"/>
      <c r="AH100" s="209"/>
      <c r="AI100" s="209"/>
    </row>
    <row r="101" spans="1:35" s="8" customFormat="1" ht="66" customHeight="1">
      <c r="A101" s="7" t="s">
        <v>561</v>
      </c>
      <c r="B101" s="7" t="s">
        <v>83</v>
      </c>
      <c r="C101" s="14" t="s">
        <v>569</v>
      </c>
      <c r="D101" s="53">
        <f>'дод. 3'!E158</f>
        <v>12251650</v>
      </c>
      <c r="E101" s="53">
        <f>'дод. 3'!F158</f>
        <v>12251650</v>
      </c>
      <c r="F101" s="53">
        <f>'дод. 3'!G158</f>
        <v>0</v>
      </c>
      <c r="G101" s="53">
        <f>'дод. 3'!H158</f>
        <v>0</v>
      </c>
      <c r="H101" s="53">
        <f>'дод. 3'!I158</f>
        <v>0</v>
      </c>
      <c r="I101" s="53">
        <f>'дод. 3'!J158</f>
        <v>0</v>
      </c>
      <c r="J101" s="53">
        <f>'дод. 3'!K158</f>
        <v>0</v>
      </c>
      <c r="K101" s="53">
        <f>'дод. 3'!L158</f>
        <v>0</v>
      </c>
      <c r="L101" s="53">
        <f>'дод. 3'!M158</f>
        <v>0</v>
      </c>
      <c r="M101" s="53">
        <f>'дод. 3'!N158</f>
        <v>0</v>
      </c>
      <c r="N101" s="53">
        <f>'дод. 3'!O158</f>
        <v>0</v>
      </c>
      <c r="O101" s="53">
        <f>'дод. 3'!P158</f>
        <v>12251650</v>
      </c>
      <c r="P101" s="264"/>
      <c r="Q101" s="209"/>
      <c r="R101" s="209"/>
      <c r="S101" s="209"/>
      <c r="T101" s="209"/>
      <c r="U101" s="209"/>
      <c r="V101" s="209"/>
      <c r="W101" s="209"/>
      <c r="X101" s="209"/>
      <c r="Y101" s="209"/>
      <c r="Z101" s="209"/>
      <c r="AA101" s="209"/>
      <c r="AB101" s="209"/>
      <c r="AC101" s="209"/>
      <c r="AD101" s="209"/>
      <c r="AE101" s="209"/>
      <c r="AF101" s="209"/>
      <c r="AG101" s="209"/>
      <c r="AH101" s="209"/>
      <c r="AI101" s="209"/>
    </row>
    <row r="102" spans="1:35" s="8" customFormat="1" ht="27" customHeight="1">
      <c r="A102" s="7"/>
      <c r="B102" s="7"/>
      <c r="C102" s="14" t="s">
        <v>416</v>
      </c>
      <c r="D102" s="53">
        <f>'дод. 3'!E159</f>
        <v>12251650</v>
      </c>
      <c r="E102" s="53">
        <f>'дод. 3'!F159</f>
        <v>12251650</v>
      </c>
      <c r="F102" s="53">
        <f>'дод. 3'!G159</f>
        <v>0</v>
      </c>
      <c r="G102" s="53">
        <f>'дод. 3'!H159</f>
        <v>0</v>
      </c>
      <c r="H102" s="53">
        <f>'дод. 3'!I159</f>
        <v>0</v>
      </c>
      <c r="I102" s="53">
        <f>'дод. 3'!J159</f>
        <v>0</v>
      </c>
      <c r="J102" s="53">
        <f>'дод. 3'!K159</f>
        <v>0</v>
      </c>
      <c r="K102" s="53">
        <f>'дод. 3'!L159</f>
        <v>0</v>
      </c>
      <c r="L102" s="53">
        <f>'дод. 3'!M159</f>
        <v>0</v>
      </c>
      <c r="M102" s="53">
        <f>'дод. 3'!N159</f>
        <v>0</v>
      </c>
      <c r="N102" s="53">
        <f>'дод. 3'!O159</f>
        <v>0</v>
      </c>
      <c r="O102" s="53">
        <f>'дод. 3'!P159</f>
        <v>12251650</v>
      </c>
      <c r="P102" s="264"/>
      <c r="Q102" s="209"/>
      <c r="R102" s="209"/>
      <c r="S102" s="209"/>
      <c r="T102" s="209"/>
      <c r="U102" s="209"/>
      <c r="V102" s="209"/>
      <c r="W102" s="209"/>
      <c r="X102" s="209"/>
      <c r="Y102" s="209"/>
      <c r="Z102" s="209"/>
      <c r="AA102" s="209"/>
      <c r="AB102" s="209"/>
      <c r="AC102" s="209"/>
      <c r="AD102" s="209"/>
      <c r="AE102" s="209"/>
      <c r="AF102" s="209"/>
      <c r="AG102" s="209"/>
      <c r="AH102" s="209"/>
      <c r="AI102" s="209"/>
    </row>
    <row r="103" spans="1:35" s="8" customFormat="1" ht="53.25" customHeight="1">
      <c r="A103" s="7" t="s">
        <v>562</v>
      </c>
      <c r="B103" s="7" t="s">
        <v>83</v>
      </c>
      <c r="C103" s="14" t="s">
        <v>570</v>
      </c>
      <c r="D103" s="53">
        <f>'дод. 3'!E160</f>
        <v>11516480</v>
      </c>
      <c r="E103" s="53">
        <f>'дод. 3'!F160</f>
        <v>11516480</v>
      </c>
      <c r="F103" s="53">
        <f>'дод. 3'!G160</f>
        <v>0</v>
      </c>
      <c r="G103" s="53">
        <f>'дод. 3'!H160</f>
        <v>0</v>
      </c>
      <c r="H103" s="53">
        <f>'дод. 3'!I160</f>
        <v>0</v>
      </c>
      <c r="I103" s="53">
        <f>'дод. 3'!J160</f>
        <v>0</v>
      </c>
      <c r="J103" s="53">
        <f>'дод. 3'!K160</f>
        <v>0</v>
      </c>
      <c r="K103" s="53">
        <f>'дод. 3'!L160</f>
        <v>0</v>
      </c>
      <c r="L103" s="53">
        <f>'дод. 3'!M160</f>
        <v>0</v>
      </c>
      <c r="M103" s="53">
        <f>'дод. 3'!N160</f>
        <v>0</v>
      </c>
      <c r="N103" s="53">
        <f>'дод. 3'!O160</f>
        <v>0</v>
      </c>
      <c r="O103" s="53">
        <f>'дод. 3'!P160</f>
        <v>11516480</v>
      </c>
      <c r="P103" s="264">
        <v>27</v>
      </c>
      <c r="Q103" s="209"/>
      <c r="R103" s="209"/>
      <c r="S103" s="209"/>
      <c r="T103" s="209"/>
      <c r="U103" s="209"/>
      <c r="V103" s="209"/>
      <c r="W103" s="209"/>
      <c r="X103" s="209"/>
      <c r="Y103" s="209"/>
      <c r="Z103" s="209"/>
      <c r="AA103" s="209"/>
      <c r="AB103" s="209"/>
      <c r="AC103" s="209"/>
      <c r="AD103" s="209"/>
      <c r="AE103" s="209"/>
      <c r="AF103" s="209"/>
      <c r="AG103" s="209"/>
      <c r="AH103" s="209"/>
      <c r="AI103" s="209"/>
    </row>
    <row r="104" spans="1:35" s="8" customFormat="1" ht="27" customHeight="1">
      <c r="A104" s="7"/>
      <c r="B104" s="7"/>
      <c r="C104" s="14" t="s">
        <v>416</v>
      </c>
      <c r="D104" s="53">
        <f>'дод. 3'!E161</f>
        <v>11516480</v>
      </c>
      <c r="E104" s="53">
        <f>'дод. 3'!F161</f>
        <v>11516480</v>
      </c>
      <c r="F104" s="53">
        <f>'дод. 3'!G161</f>
        <v>0</v>
      </c>
      <c r="G104" s="53">
        <f>'дод. 3'!H161</f>
        <v>0</v>
      </c>
      <c r="H104" s="53">
        <f>'дод. 3'!I161</f>
        <v>0</v>
      </c>
      <c r="I104" s="53">
        <f>'дод. 3'!J161</f>
        <v>0</v>
      </c>
      <c r="J104" s="53">
        <f>'дод. 3'!K161</f>
        <v>0</v>
      </c>
      <c r="K104" s="53">
        <f>'дод. 3'!L161</f>
        <v>0</v>
      </c>
      <c r="L104" s="53">
        <f>'дод. 3'!M161</f>
        <v>0</v>
      </c>
      <c r="M104" s="53">
        <f>'дод. 3'!N161</f>
        <v>0</v>
      </c>
      <c r="N104" s="53">
        <f>'дод. 3'!O161</f>
        <v>0</v>
      </c>
      <c r="O104" s="53">
        <f>'дод. 3'!P161</f>
        <v>11516480</v>
      </c>
      <c r="P104" s="264"/>
      <c r="Q104" s="209"/>
      <c r="R104" s="209"/>
      <c r="S104" s="209"/>
      <c r="T104" s="209"/>
      <c r="U104" s="209"/>
      <c r="V104" s="209"/>
      <c r="W104" s="209"/>
      <c r="X104" s="209"/>
      <c r="Y104" s="209"/>
      <c r="Z104" s="209"/>
      <c r="AA104" s="209"/>
      <c r="AB104" s="209"/>
      <c r="AC104" s="209"/>
      <c r="AD104" s="209"/>
      <c r="AE104" s="209"/>
      <c r="AF104" s="209"/>
      <c r="AG104" s="209"/>
      <c r="AH104" s="209"/>
      <c r="AI104" s="209"/>
    </row>
    <row r="105" spans="1:35" s="8" customFormat="1" ht="72" customHeight="1">
      <c r="A105" s="7" t="s">
        <v>563</v>
      </c>
      <c r="B105" s="7" t="s">
        <v>148</v>
      </c>
      <c r="C105" s="14" t="s">
        <v>571</v>
      </c>
      <c r="D105" s="53">
        <f>'дод. 3'!E162</f>
        <v>11267070</v>
      </c>
      <c r="E105" s="53">
        <f>'дод. 3'!F162</f>
        <v>11267070</v>
      </c>
      <c r="F105" s="53">
        <f>'дод. 3'!G162</f>
        <v>0</v>
      </c>
      <c r="G105" s="53">
        <f>'дод. 3'!H162</f>
        <v>0</v>
      </c>
      <c r="H105" s="53">
        <f>'дод. 3'!I162</f>
        <v>0</v>
      </c>
      <c r="I105" s="53">
        <f>'дод. 3'!J162</f>
        <v>0</v>
      </c>
      <c r="J105" s="53">
        <f>'дод. 3'!K162</f>
        <v>0</v>
      </c>
      <c r="K105" s="53">
        <f>'дод. 3'!L162</f>
        <v>0</v>
      </c>
      <c r="L105" s="53">
        <f>'дод. 3'!M162</f>
        <v>0</v>
      </c>
      <c r="M105" s="53">
        <f>'дод. 3'!N162</f>
        <v>0</v>
      </c>
      <c r="N105" s="53">
        <f>'дод. 3'!O162</f>
        <v>0</v>
      </c>
      <c r="O105" s="53">
        <f>'дод. 3'!P162</f>
        <v>11267070</v>
      </c>
      <c r="P105" s="264"/>
      <c r="Q105" s="209"/>
      <c r="R105" s="209"/>
      <c r="S105" s="209"/>
      <c r="T105" s="209"/>
      <c r="U105" s="209"/>
      <c r="V105" s="209"/>
      <c r="W105" s="209"/>
      <c r="X105" s="209"/>
      <c r="Y105" s="209"/>
      <c r="Z105" s="209"/>
      <c r="AA105" s="209"/>
      <c r="AB105" s="209"/>
      <c r="AC105" s="209"/>
      <c r="AD105" s="209"/>
      <c r="AE105" s="209"/>
      <c r="AF105" s="209"/>
      <c r="AG105" s="209"/>
      <c r="AH105" s="209"/>
      <c r="AI105" s="209"/>
    </row>
    <row r="106" spans="1:35" s="8" customFormat="1" ht="27" customHeight="1">
      <c r="A106" s="7"/>
      <c r="B106" s="7"/>
      <c r="C106" s="14" t="s">
        <v>416</v>
      </c>
      <c r="D106" s="53">
        <f>'дод. 3'!E163</f>
        <v>11267070</v>
      </c>
      <c r="E106" s="53">
        <f>'дод. 3'!F163</f>
        <v>11267070</v>
      </c>
      <c r="F106" s="53">
        <f>'дод. 3'!G163</f>
        <v>0</v>
      </c>
      <c r="G106" s="53">
        <f>'дод. 3'!H163</f>
        <v>0</v>
      </c>
      <c r="H106" s="53">
        <f>'дод. 3'!I163</f>
        <v>0</v>
      </c>
      <c r="I106" s="53">
        <f>'дод. 3'!J163</f>
        <v>0</v>
      </c>
      <c r="J106" s="53">
        <f>'дод. 3'!K163</f>
        <v>0</v>
      </c>
      <c r="K106" s="53">
        <f>'дод. 3'!L163</f>
        <v>0</v>
      </c>
      <c r="L106" s="53">
        <f>'дод. 3'!M163</f>
        <v>0</v>
      </c>
      <c r="M106" s="53">
        <f>'дод. 3'!N163</f>
        <v>0</v>
      </c>
      <c r="N106" s="53">
        <f>'дод. 3'!O163</f>
        <v>0</v>
      </c>
      <c r="O106" s="53">
        <f>'дод. 3'!P163</f>
        <v>11267070</v>
      </c>
      <c r="P106" s="264"/>
      <c r="Q106" s="209"/>
      <c r="R106" s="209"/>
      <c r="S106" s="209"/>
      <c r="T106" s="209"/>
      <c r="U106" s="209"/>
      <c r="V106" s="209"/>
      <c r="W106" s="209"/>
      <c r="X106" s="209"/>
      <c r="Y106" s="209"/>
      <c r="Z106" s="209"/>
      <c r="AA106" s="209"/>
      <c r="AB106" s="209"/>
      <c r="AC106" s="209"/>
      <c r="AD106" s="209"/>
      <c r="AE106" s="209"/>
      <c r="AF106" s="209"/>
      <c r="AG106" s="209"/>
      <c r="AH106" s="209"/>
      <c r="AI106" s="209"/>
    </row>
    <row r="107" spans="1:35" s="8" customFormat="1" ht="64.5" customHeight="1">
      <c r="A107" s="7" t="s">
        <v>564</v>
      </c>
      <c r="B107" s="7" t="s">
        <v>83</v>
      </c>
      <c r="C107" s="14" t="s">
        <v>572</v>
      </c>
      <c r="D107" s="53">
        <f>'дод. 3'!E164</f>
        <v>148270</v>
      </c>
      <c r="E107" s="53">
        <f>'дод. 3'!F164</f>
        <v>148270</v>
      </c>
      <c r="F107" s="53">
        <f>'дод. 3'!G164</f>
        <v>0</v>
      </c>
      <c r="G107" s="53">
        <f>'дод. 3'!H164</f>
        <v>0</v>
      </c>
      <c r="H107" s="53">
        <f>'дод. 3'!I164</f>
        <v>0</v>
      </c>
      <c r="I107" s="53">
        <f>'дод. 3'!J164</f>
        <v>0</v>
      </c>
      <c r="J107" s="53">
        <f>'дод. 3'!K164</f>
        <v>0</v>
      </c>
      <c r="K107" s="53">
        <f>'дод. 3'!L164</f>
        <v>0</v>
      </c>
      <c r="L107" s="53">
        <f>'дод. 3'!M164</f>
        <v>0</v>
      </c>
      <c r="M107" s="53">
        <f>'дод. 3'!N164</f>
        <v>0</v>
      </c>
      <c r="N107" s="53">
        <f>'дод. 3'!O164</f>
        <v>0</v>
      </c>
      <c r="O107" s="53">
        <f>'дод. 3'!P164</f>
        <v>148270</v>
      </c>
      <c r="P107" s="264"/>
      <c r="Q107" s="209"/>
      <c r="R107" s="209"/>
      <c r="S107" s="209"/>
      <c r="T107" s="209"/>
      <c r="U107" s="209"/>
      <c r="V107" s="209"/>
      <c r="W107" s="209"/>
      <c r="X107" s="209"/>
      <c r="Y107" s="209"/>
      <c r="Z107" s="209"/>
      <c r="AA107" s="209"/>
      <c r="AB107" s="209"/>
      <c r="AC107" s="209"/>
      <c r="AD107" s="209"/>
      <c r="AE107" s="209"/>
      <c r="AF107" s="209"/>
      <c r="AG107" s="209"/>
      <c r="AH107" s="209"/>
      <c r="AI107" s="209"/>
    </row>
    <row r="108" spans="1:35" s="8" customFormat="1" ht="27" customHeight="1">
      <c r="A108" s="7"/>
      <c r="B108" s="7"/>
      <c r="C108" s="14" t="s">
        <v>416</v>
      </c>
      <c r="D108" s="53">
        <f>'дод. 3'!E165</f>
        <v>148270</v>
      </c>
      <c r="E108" s="53">
        <f>'дод. 3'!F165</f>
        <v>148270</v>
      </c>
      <c r="F108" s="53">
        <f>'дод. 3'!G165</f>
        <v>0</v>
      </c>
      <c r="G108" s="53">
        <f>'дод. 3'!H165</f>
        <v>0</v>
      </c>
      <c r="H108" s="53">
        <f>'дод. 3'!I165</f>
        <v>0</v>
      </c>
      <c r="I108" s="53">
        <f>'дод. 3'!J165</f>
        <v>0</v>
      </c>
      <c r="J108" s="53">
        <f>'дод. 3'!K165</f>
        <v>0</v>
      </c>
      <c r="K108" s="53">
        <f>'дод. 3'!L165</f>
        <v>0</v>
      </c>
      <c r="L108" s="53">
        <f>'дод. 3'!M165</f>
        <v>0</v>
      </c>
      <c r="M108" s="53">
        <f>'дод. 3'!N165</f>
        <v>0</v>
      </c>
      <c r="N108" s="53">
        <f>'дод. 3'!O165</f>
        <v>0</v>
      </c>
      <c r="O108" s="53">
        <f>'дод. 3'!P165</f>
        <v>148270</v>
      </c>
      <c r="P108" s="264"/>
      <c r="Q108" s="209"/>
      <c r="R108" s="209"/>
      <c r="S108" s="209"/>
      <c r="T108" s="209"/>
      <c r="U108" s="209"/>
      <c r="V108" s="209"/>
      <c r="W108" s="209"/>
      <c r="X108" s="209"/>
      <c r="Y108" s="209"/>
      <c r="Z108" s="209"/>
      <c r="AA108" s="209"/>
      <c r="AB108" s="209"/>
      <c r="AC108" s="209"/>
      <c r="AD108" s="209"/>
      <c r="AE108" s="209"/>
      <c r="AF108" s="209"/>
      <c r="AG108" s="209"/>
      <c r="AH108" s="209"/>
      <c r="AI108" s="209"/>
    </row>
    <row r="109" spans="1:35" ht="40.5" customHeight="1">
      <c r="A109" s="5" t="s">
        <v>504</v>
      </c>
      <c r="B109" s="5" t="s">
        <v>87</v>
      </c>
      <c r="C109" s="13" t="s">
        <v>505</v>
      </c>
      <c r="D109" s="52">
        <f>'дод. 3'!E166</f>
        <v>200700</v>
      </c>
      <c r="E109" s="52">
        <f>'дод. 3'!F166</f>
        <v>200700</v>
      </c>
      <c r="F109" s="52">
        <f>'дод. 3'!G166</f>
        <v>0</v>
      </c>
      <c r="G109" s="52">
        <f>'дод. 3'!H166</f>
        <v>0</v>
      </c>
      <c r="H109" s="52">
        <f>'дод. 3'!I166</f>
        <v>0</v>
      </c>
      <c r="I109" s="52">
        <f>'дод. 3'!J166</f>
        <v>0</v>
      </c>
      <c r="J109" s="52">
        <f>'дод. 3'!K166</f>
        <v>0</v>
      </c>
      <c r="K109" s="52">
        <f>'дод. 3'!L166</f>
        <v>0</v>
      </c>
      <c r="L109" s="52">
        <f>'дод. 3'!M166</f>
        <v>0</v>
      </c>
      <c r="M109" s="52">
        <f>'дод. 3'!N166</f>
        <v>0</v>
      </c>
      <c r="N109" s="52">
        <f>'дод. 3'!O166</f>
        <v>0</v>
      </c>
      <c r="O109" s="52">
        <f>'дод. 3'!P166</f>
        <v>200700</v>
      </c>
      <c r="P109" s="264"/>
      <c r="Q109" s="208"/>
      <c r="R109" s="208"/>
      <c r="S109" s="208"/>
      <c r="T109" s="208"/>
      <c r="U109" s="208"/>
      <c r="V109" s="208"/>
      <c r="W109" s="208"/>
      <c r="X109" s="208"/>
      <c r="Y109" s="208"/>
      <c r="Z109" s="208"/>
      <c r="AA109" s="208"/>
      <c r="AB109" s="208"/>
      <c r="AC109" s="208"/>
      <c r="AD109" s="208"/>
      <c r="AE109" s="208"/>
      <c r="AF109" s="208"/>
      <c r="AG109" s="208"/>
      <c r="AH109" s="208"/>
      <c r="AI109" s="208"/>
    </row>
    <row r="110" spans="1:35" ht="62.25" customHeight="1">
      <c r="A110" s="5" t="s">
        <v>150</v>
      </c>
      <c r="B110" s="15"/>
      <c r="C110" s="13" t="s">
        <v>452</v>
      </c>
      <c r="D110" s="52">
        <f aca="true" t="shared" si="23" ref="D110:O110">D111</f>
        <v>9191915</v>
      </c>
      <c r="E110" s="52">
        <f t="shared" si="23"/>
        <v>9191915</v>
      </c>
      <c r="F110" s="52">
        <f t="shared" si="23"/>
        <v>6946900</v>
      </c>
      <c r="G110" s="52">
        <f t="shared" si="23"/>
        <v>193245</v>
      </c>
      <c r="H110" s="52">
        <f t="shared" si="23"/>
        <v>0</v>
      </c>
      <c r="I110" s="52">
        <f t="shared" si="23"/>
        <v>76400</v>
      </c>
      <c r="J110" s="52">
        <f t="shared" si="23"/>
        <v>57900</v>
      </c>
      <c r="K110" s="52">
        <f t="shared" si="23"/>
        <v>44700</v>
      </c>
      <c r="L110" s="52">
        <f t="shared" si="23"/>
        <v>0</v>
      </c>
      <c r="M110" s="52">
        <f t="shared" si="23"/>
        <v>18500</v>
      </c>
      <c r="N110" s="52">
        <f t="shared" si="23"/>
        <v>18500</v>
      </c>
      <c r="O110" s="52">
        <f t="shared" si="23"/>
        <v>9268315</v>
      </c>
      <c r="P110" s="264"/>
      <c r="Q110" s="205"/>
      <c r="R110" s="205"/>
      <c r="S110" s="205"/>
      <c r="T110" s="205"/>
      <c r="U110" s="205"/>
      <c r="V110" s="205"/>
      <c r="W110" s="205"/>
      <c r="X110" s="205"/>
      <c r="Y110" s="205"/>
      <c r="Z110" s="205"/>
      <c r="AA110" s="205"/>
      <c r="AB110" s="205"/>
      <c r="AC110" s="205"/>
      <c r="AD110" s="205"/>
      <c r="AE110" s="205"/>
      <c r="AF110" s="205"/>
      <c r="AG110" s="205"/>
      <c r="AH110" s="205"/>
      <c r="AI110" s="205"/>
    </row>
    <row r="111" spans="1:35" s="8" customFormat="1" ht="74.25" customHeight="1">
      <c r="A111" s="7" t="s">
        <v>151</v>
      </c>
      <c r="B111" s="7" t="s">
        <v>85</v>
      </c>
      <c r="C111" s="14" t="s">
        <v>57</v>
      </c>
      <c r="D111" s="53">
        <f>'дод. 3'!E168</f>
        <v>9191915</v>
      </c>
      <c r="E111" s="53">
        <f>'дод. 3'!F168</f>
        <v>9191915</v>
      </c>
      <c r="F111" s="53">
        <f>'дод. 3'!G168</f>
        <v>6946900</v>
      </c>
      <c r="G111" s="53">
        <f>'дод. 3'!H168</f>
        <v>193245</v>
      </c>
      <c r="H111" s="53">
        <f>'дод. 3'!I168</f>
        <v>0</v>
      </c>
      <c r="I111" s="53">
        <f>'дод. 3'!J168</f>
        <v>76400</v>
      </c>
      <c r="J111" s="53">
        <f>'дод. 3'!K168</f>
        <v>57900</v>
      </c>
      <c r="K111" s="53">
        <f>'дод. 3'!L168</f>
        <v>44700</v>
      </c>
      <c r="L111" s="53">
        <f>'дод. 3'!M168</f>
        <v>0</v>
      </c>
      <c r="M111" s="53">
        <f>'дод. 3'!N168</f>
        <v>18500</v>
      </c>
      <c r="N111" s="53">
        <f>'дод. 3'!O168</f>
        <v>18500</v>
      </c>
      <c r="O111" s="53">
        <f>'дод. 3'!P168</f>
        <v>9268315</v>
      </c>
      <c r="P111" s="264"/>
      <c r="Q111" s="207"/>
      <c r="R111" s="207"/>
      <c r="S111" s="207"/>
      <c r="T111" s="207"/>
      <c r="U111" s="207"/>
      <c r="V111" s="207"/>
      <c r="W111" s="207"/>
      <c r="X111" s="207"/>
      <c r="Y111" s="207"/>
      <c r="Z111" s="207"/>
      <c r="AA111" s="207"/>
      <c r="AB111" s="207"/>
      <c r="AC111" s="207"/>
      <c r="AD111" s="207"/>
      <c r="AE111" s="207"/>
      <c r="AF111" s="207"/>
      <c r="AG111" s="207"/>
      <c r="AH111" s="207"/>
      <c r="AI111" s="207"/>
    </row>
    <row r="112" spans="1:35" ht="36.75" customHeight="1">
      <c r="A112" s="5" t="s">
        <v>161</v>
      </c>
      <c r="B112" s="5"/>
      <c r="C112" s="13" t="s">
        <v>62</v>
      </c>
      <c r="D112" s="49">
        <f aca="true" t="shared" si="24" ref="D112:O112">D113</f>
        <v>80000</v>
      </c>
      <c r="E112" s="49">
        <f t="shared" si="24"/>
        <v>80000</v>
      </c>
      <c r="F112" s="49">
        <f t="shared" si="24"/>
        <v>0</v>
      </c>
      <c r="G112" s="49">
        <f t="shared" si="24"/>
        <v>0</v>
      </c>
      <c r="H112" s="49">
        <f t="shared" si="24"/>
        <v>0</v>
      </c>
      <c r="I112" s="49">
        <f t="shared" si="24"/>
        <v>0</v>
      </c>
      <c r="J112" s="49">
        <f t="shared" si="24"/>
        <v>0</v>
      </c>
      <c r="K112" s="49">
        <f t="shared" si="24"/>
        <v>0</v>
      </c>
      <c r="L112" s="49">
        <f t="shared" si="24"/>
        <v>0</v>
      </c>
      <c r="M112" s="49">
        <f t="shared" si="24"/>
        <v>0</v>
      </c>
      <c r="N112" s="49">
        <f t="shared" si="24"/>
        <v>0</v>
      </c>
      <c r="O112" s="49">
        <f t="shared" si="24"/>
        <v>80000</v>
      </c>
      <c r="P112" s="264"/>
      <c r="Q112" s="210"/>
      <c r="R112" s="210"/>
      <c r="S112" s="210"/>
      <c r="T112" s="210"/>
      <c r="U112" s="210"/>
      <c r="V112" s="210"/>
      <c r="W112" s="210"/>
      <c r="X112" s="210"/>
      <c r="Y112" s="210"/>
      <c r="Z112" s="210"/>
      <c r="AA112" s="210"/>
      <c r="AB112" s="210"/>
      <c r="AC112" s="210"/>
      <c r="AD112" s="210"/>
      <c r="AE112" s="210"/>
      <c r="AF112" s="210"/>
      <c r="AG112" s="210"/>
      <c r="AH112" s="210"/>
      <c r="AI112" s="210"/>
    </row>
    <row r="113" spans="1:35" s="8" customFormat="1" ht="43.5" customHeight="1">
      <c r="A113" s="7" t="s">
        <v>152</v>
      </c>
      <c r="B113" s="7" t="s">
        <v>148</v>
      </c>
      <c r="C113" s="14" t="s">
        <v>60</v>
      </c>
      <c r="D113" s="51">
        <f>'дод. 3'!E190</f>
        <v>80000</v>
      </c>
      <c r="E113" s="51">
        <f>'дод. 3'!F190</f>
        <v>80000</v>
      </c>
      <c r="F113" s="51">
        <f>'дод. 3'!G190</f>
        <v>0</v>
      </c>
      <c r="G113" s="51">
        <f>'дод. 3'!H190</f>
        <v>0</v>
      </c>
      <c r="H113" s="51">
        <f>'дод. 3'!I190</f>
        <v>0</v>
      </c>
      <c r="I113" s="51">
        <f>'дод. 3'!J190</f>
        <v>0</v>
      </c>
      <c r="J113" s="51">
        <f>'дод. 3'!K190</f>
        <v>0</v>
      </c>
      <c r="K113" s="51">
        <f>'дод. 3'!L190</f>
        <v>0</v>
      </c>
      <c r="L113" s="51">
        <f>'дод. 3'!M190</f>
        <v>0</v>
      </c>
      <c r="M113" s="51">
        <f>'дод. 3'!N190</f>
        <v>0</v>
      </c>
      <c r="N113" s="51">
        <f>'дод. 3'!O190</f>
        <v>0</v>
      </c>
      <c r="O113" s="51">
        <f>'дод. 3'!P190</f>
        <v>80000</v>
      </c>
      <c r="P113" s="264"/>
      <c r="Q113" s="211"/>
      <c r="R113" s="211"/>
      <c r="S113" s="211"/>
      <c r="T113" s="211"/>
      <c r="U113" s="211"/>
      <c r="V113" s="211"/>
      <c r="W113" s="211"/>
      <c r="X113" s="211"/>
      <c r="Y113" s="211"/>
      <c r="Z113" s="211"/>
      <c r="AA113" s="211"/>
      <c r="AB113" s="211"/>
      <c r="AC113" s="211"/>
      <c r="AD113" s="211"/>
      <c r="AE113" s="211"/>
      <c r="AF113" s="211"/>
      <c r="AG113" s="211"/>
      <c r="AH113" s="211"/>
      <c r="AI113" s="211"/>
    </row>
    <row r="114" spans="1:35" ht="37.5" customHeight="1">
      <c r="A114" s="5" t="s">
        <v>200</v>
      </c>
      <c r="B114" s="5"/>
      <c r="C114" s="13" t="s">
        <v>40</v>
      </c>
      <c r="D114" s="49">
        <f aca="true" t="shared" si="25" ref="D114:O114">D115</f>
        <v>1661740</v>
      </c>
      <c r="E114" s="49">
        <f t="shared" si="25"/>
        <v>1661740</v>
      </c>
      <c r="F114" s="49">
        <f t="shared" si="25"/>
        <v>1247850</v>
      </c>
      <c r="G114" s="49">
        <f t="shared" si="25"/>
        <v>56450</v>
      </c>
      <c r="H114" s="49">
        <f t="shared" si="25"/>
        <v>0</v>
      </c>
      <c r="I114" s="49">
        <f t="shared" si="25"/>
        <v>20500</v>
      </c>
      <c r="J114" s="49">
        <f t="shared" si="25"/>
        <v>0</v>
      </c>
      <c r="K114" s="49">
        <f t="shared" si="25"/>
        <v>0</v>
      </c>
      <c r="L114" s="49">
        <f t="shared" si="25"/>
        <v>0</v>
      </c>
      <c r="M114" s="49">
        <f t="shared" si="25"/>
        <v>20500</v>
      </c>
      <c r="N114" s="49">
        <f t="shared" si="25"/>
        <v>20500</v>
      </c>
      <c r="O114" s="49">
        <f t="shared" si="25"/>
        <v>1682240</v>
      </c>
      <c r="P114" s="264"/>
      <c r="Q114" s="210"/>
      <c r="R114" s="210"/>
      <c r="S114" s="210"/>
      <c r="T114" s="210"/>
      <c r="U114" s="210"/>
      <c r="V114" s="210"/>
      <c r="W114" s="210"/>
      <c r="X114" s="210"/>
      <c r="Y114" s="210"/>
      <c r="Z114" s="210"/>
      <c r="AA114" s="210"/>
      <c r="AB114" s="210"/>
      <c r="AC114" s="210"/>
      <c r="AD114" s="210"/>
      <c r="AE114" s="210"/>
      <c r="AF114" s="210"/>
      <c r="AG114" s="210"/>
      <c r="AH114" s="210"/>
      <c r="AI114" s="210"/>
    </row>
    <row r="115" spans="1:35" s="8" customFormat="1" ht="42.75" customHeight="1">
      <c r="A115" s="7" t="s">
        <v>201</v>
      </c>
      <c r="B115" s="7" t="s">
        <v>148</v>
      </c>
      <c r="C115" s="14" t="s">
        <v>202</v>
      </c>
      <c r="D115" s="51">
        <f>'дод. 3'!E21</f>
        <v>1661740</v>
      </c>
      <c r="E115" s="51">
        <f>'дод. 3'!F21</f>
        <v>1661740</v>
      </c>
      <c r="F115" s="51">
        <f>'дод. 3'!G21</f>
        <v>1247850</v>
      </c>
      <c r="G115" s="51">
        <f>'дод. 3'!H21</f>
        <v>56450</v>
      </c>
      <c r="H115" s="51">
        <f>'дод. 3'!I21</f>
        <v>0</v>
      </c>
      <c r="I115" s="51">
        <f>'дод. 3'!J21</f>
        <v>20500</v>
      </c>
      <c r="J115" s="51">
        <f>'дод. 3'!K21</f>
        <v>0</v>
      </c>
      <c r="K115" s="51">
        <f>'дод. 3'!L21</f>
        <v>0</v>
      </c>
      <c r="L115" s="51">
        <f>'дод. 3'!M21</f>
        <v>0</v>
      </c>
      <c r="M115" s="51">
        <f>'дод. 3'!N21</f>
        <v>20500</v>
      </c>
      <c r="N115" s="51">
        <f>'дод. 3'!O21</f>
        <v>20500</v>
      </c>
      <c r="O115" s="51">
        <f>'дод. 3'!P21</f>
        <v>1682240</v>
      </c>
      <c r="P115" s="264"/>
      <c r="Q115" s="211"/>
      <c r="R115" s="211"/>
      <c r="S115" s="211"/>
      <c r="T115" s="211"/>
      <c r="U115" s="211"/>
      <c r="V115" s="211"/>
      <c r="W115" s="211"/>
      <c r="X115" s="211"/>
      <c r="Y115" s="211"/>
      <c r="Z115" s="211"/>
      <c r="AA115" s="211"/>
      <c r="AB115" s="211"/>
      <c r="AC115" s="211"/>
      <c r="AD115" s="211"/>
      <c r="AE115" s="211"/>
      <c r="AF115" s="211"/>
      <c r="AG115" s="211"/>
      <c r="AH115" s="211"/>
      <c r="AI115" s="211"/>
    </row>
    <row r="116" spans="1:35" ht="24.75" customHeight="1">
      <c r="A116" s="5" t="s">
        <v>157</v>
      </c>
      <c r="B116" s="5"/>
      <c r="C116" s="13" t="s">
        <v>168</v>
      </c>
      <c r="D116" s="49">
        <f aca="true" t="shared" si="26" ref="D116:O116">D117</f>
        <v>750000</v>
      </c>
      <c r="E116" s="49">
        <f t="shared" si="26"/>
        <v>750000</v>
      </c>
      <c r="F116" s="49">
        <f t="shared" si="26"/>
        <v>0</v>
      </c>
      <c r="G116" s="49">
        <f t="shared" si="26"/>
        <v>0</v>
      </c>
      <c r="H116" s="49">
        <f t="shared" si="26"/>
        <v>0</v>
      </c>
      <c r="I116" s="49">
        <f t="shared" si="26"/>
        <v>0</v>
      </c>
      <c r="J116" s="49">
        <f t="shared" si="26"/>
        <v>0</v>
      </c>
      <c r="K116" s="49">
        <f t="shared" si="26"/>
        <v>0</v>
      </c>
      <c r="L116" s="49">
        <f t="shared" si="26"/>
        <v>0</v>
      </c>
      <c r="M116" s="49">
        <f t="shared" si="26"/>
        <v>0</v>
      </c>
      <c r="N116" s="49">
        <f t="shared" si="26"/>
        <v>0</v>
      </c>
      <c r="O116" s="49">
        <f t="shared" si="26"/>
        <v>750000</v>
      </c>
      <c r="P116" s="264"/>
      <c r="Q116" s="210"/>
      <c r="R116" s="210"/>
      <c r="S116" s="210"/>
      <c r="T116" s="210"/>
      <c r="U116" s="210"/>
      <c r="V116" s="210"/>
      <c r="W116" s="210"/>
      <c r="X116" s="210"/>
      <c r="Y116" s="210"/>
      <c r="Z116" s="210"/>
      <c r="AA116" s="210"/>
      <c r="AB116" s="210"/>
      <c r="AC116" s="210"/>
      <c r="AD116" s="210"/>
      <c r="AE116" s="210"/>
      <c r="AF116" s="210"/>
      <c r="AG116" s="210"/>
      <c r="AH116" s="210"/>
      <c r="AI116" s="210"/>
    </row>
    <row r="117" spans="1:35" s="8" customFormat="1" ht="58.5" customHeight="1">
      <c r="A117" s="28" t="s">
        <v>158</v>
      </c>
      <c r="B117" s="28" t="s">
        <v>148</v>
      </c>
      <c r="C117" s="14" t="s">
        <v>224</v>
      </c>
      <c r="D117" s="51">
        <f>'дод. 3'!E23</f>
        <v>750000</v>
      </c>
      <c r="E117" s="51">
        <f>'дод. 3'!F23</f>
        <v>750000</v>
      </c>
      <c r="F117" s="51">
        <f>'дод. 3'!G23</f>
        <v>0</v>
      </c>
      <c r="G117" s="51">
        <f>'дод. 3'!H23</f>
        <v>0</v>
      </c>
      <c r="H117" s="51">
        <f>'дод. 3'!I23</f>
        <v>0</v>
      </c>
      <c r="I117" s="51">
        <f>'дод. 3'!J23</f>
        <v>0</v>
      </c>
      <c r="J117" s="51">
        <f>'дод. 3'!K23</f>
        <v>0</v>
      </c>
      <c r="K117" s="51">
        <f>'дод. 3'!L23</f>
        <v>0</v>
      </c>
      <c r="L117" s="51">
        <f>'дод. 3'!M23</f>
        <v>0</v>
      </c>
      <c r="M117" s="51">
        <f>'дод. 3'!N23</f>
        <v>0</v>
      </c>
      <c r="N117" s="51">
        <f>'дод. 3'!O23</f>
        <v>0</v>
      </c>
      <c r="O117" s="51">
        <f>'дод. 3'!P23</f>
        <v>750000</v>
      </c>
      <c r="P117" s="264"/>
      <c r="Q117" s="211"/>
      <c r="R117" s="211"/>
      <c r="S117" s="211"/>
      <c r="T117" s="211"/>
      <c r="U117" s="211"/>
      <c r="V117" s="211"/>
      <c r="W117" s="211"/>
      <c r="X117" s="211"/>
      <c r="Y117" s="211"/>
      <c r="Z117" s="211"/>
      <c r="AA117" s="211"/>
      <c r="AB117" s="211"/>
      <c r="AC117" s="211"/>
      <c r="AD117" s="211"/>
      <c r="AE117" s="211"/>
      <c r="AF117" s="211"/>
      <c r="AG117" s="211"/>
      <c r="AH117" s="211"/>
      <c r="AI117" s="211"/>
    </row>
    <row r="118" spans="1:35" ht="75" customHeight="1">
      <c r="A118" s="5" t="s">
        <v>159</v>
      </c>
      <c r="B118" s="5" t="s">
        <v>148</v>
      </c>
      <c r="C118" s="18" t="s">
        <v>41</v>
      </c>
      <c r="D118" s="49">
        <f>'дод. 3'!E24+'дод. 3'!E78</f>
        <v>7430000</v>
      </c>
      <c r="E118" s="49">
        <f>'дод. 3'!F24+'дод. 3'!F78</f>
        <v>7430000</v>
      </c>
      <c r="F118" s="49">
        <f>'дод. 3'!G24+'дод. 3'!G78</f>
        <v>0</v>
      </c>
      <c r="G118" s="49">
        <f>'дод. 3'!H24+'дод. 3'!H78</f>
        <v>0</v>
      </c>
      <c r="H118" s="49">
        <f>'дод. 3'!I24+'дод. 3'!I78</f>
        <v>0</v>
      </c>
      <c r="I118" s="49">
        <f>'дод. 3'!J24+'дод. 3'!J78</f>
        <v>0</v>
      </c>
      <c r="J118" s="49">
        <f>'дод. 3'!K24+'дод. 3'!K78</f>
        <v>0</v>
      </c>
      <c r="K118" s="49">
        <f>'дод. 3'!L24+'дод. 3'!L78</f>
        <v>0</v>
      </c>
      <c r="L118" s="49">
        <f>'дод. 3'!M24+'дод. 3'!M78</f>
        <v>0</v>
      </c>
      <c r="M118" s="49">
        <f>'дод. 3'!N24+'дод. 3'!N78</f>
        <v>0</v>
      </c>
      <c r="N118" s="49">
        <f>'дод. 3'!O24+'дод. 3'!O78</f>
        <v>0</v>
      </c>
      <c r="O118" s="49">
        <f>'дод. 3'!P24+'дод. 3'!P78</f>
        <v>7430000</v>
      </c>
      <c r="P118" s="264"/>
      <c r="Q118" s="210"/>
      <c r="R118" s="210"/>
      <c r="S118" s="210"/>
      <c r="T118" s="210"/>
      <c r="U118" s="210"/>
      <c r="V118" s="210"/>
      <c r="W118" s="210"/>
      <c r="X118" s="210"/>
      <c r="Y118" s="210"/>
      <c r="Z118" s="210"/>
      <c r="AA118" s="210"/>
      <c r="AB118" s="210"/>
      <c r="AC118" s="210"/>
      <c r="AD118" s="210"/>
      <c r="AE118" s="210"/>
      <c r="AF118" s="210"/>
      <c r="AG118" s="210"/>
      <c r="AH118" s="210"/>
      <c r="AI118" s="210"/>
    </row>
    <row r="119" spans="1:35" ht="92.25" customHeight="1">
      <c r="A119" s="5" t="s">
        <v>160</v>
      </c>
      <c r="B119" s="32">
        <v>1010</v>
      </c>
      <c r="C119" s="13" t="s">
        <v>453</v>
      </c>
      <c r="D119" s="49">
        <f>'дод. 3'!E169</f>
        <v>1673920</v>
      </c>
      <c r="E119" s="49">
        <f>'дод. 3'!F169</f>
        <v>1673920</v>
      </c>
      <c r="F119" s="49">
        <f>'дод. 3'!G169</f>
        <v>0</v>
      </c>
      <c r="G119" s="49">
        <f>'дод. 3'!H169</f>
        <v>0</v>
      </c>
      <c r="H119" s="49">
        <f>'дод. 3'!I169</f>
        <v>0</v>
      </c>
      <c r="I119" s="49">
        <f>'дод. 3'!J169</f>
        <v>0</v>
      </c>
      <c r="J119" s="49">
        <f>'дод. 3'!K169</f>
        <v>0</v>
      </c>
      <c r="K119" s="49">
        <f>'дод. 3'!L169</f>
        <v>0</v>
      </c>
      <c r="L119" s="49">
        <f>'дод. 3'!M169</f>
        <v>0</v>
      </c>
      <c r="M119" s="49">
        <f>'дод. 3'!N169</f>
        <v>0</v>
      </c>
      <c r="N119" s="49">
        <f>'дод. 3'!O169</f>
        <v>0</v>
      </c>
      <c r="O119" s="49">
        <f>'дод. 3'!P169</f>
        <v>1673920</v>
      </c>
      <c r="P119" s="264"/>
      <c r="Q119" s="210"/>
      <c r="R119" s="210"/>
      <c r="S119" s="210"/>
      <c r="T119" s="210"/>
      <c r="U119" s="210"/>
      <c r="V119" s="210"/>
      <c r="W119" s="210"/>
      <c r="X119" s="210"/>
      <c r="Y119" s="210"/>
      <c r="Z119" s="210"/>
      <c r="AA119" s="210"/>
      <c r="AB119" s="210"/>
      <c r="AC119" s="210"/>
      <c r="AD119" s="210"/>
      <c r="AE119" s="210"/>
      <c r="AF119" s="210"/>
      <c r="AG119" s="210"/>
      <c r="AH119" s="210"/>
      <c r="AI119" s="210"/>
    </row>
    <row r="120" spans="1:35" ht="32.25" customHeight="1">
      <c r="A120" s="5" t="s">
        <v>506</v>
      </c>
      <c r="B120" s="32"/>
      <c r="C120" s="13" t="s">
        <v>509</v>
      </c>
      <c r="D120" s="49">
        <f aca="true" t="shared" si="27" ref="D120:O120">D121+D122</f>
        <v>188864</v>
      </c>
      <c r="E120" s="49">
        <f t="shared" si="27"/>
        <v>188864</v>
      </c>
      <c r="F120" s="49">
        <f t="shared" si="27"/>
        <v>0</v>
      </c>
      <c r="G120" s="49">
        <f t="shared" si="27"/>
        <v>0</v>
      </c>
      <c r="H120" s="49">
        <f t="shared" si="27"/>
        <v>0</v>
      </c>
      <c r="I120" s="49">
        <f t="shared" si="27"/>
        <v>0</v>
      </c>
      <c r="J120" s="49">
        <f t="shared" si="27"/>
        <v>0</v>
      </c>
      <c r="K120" s="49">
        <f t="shared" si="27"/>
        <v>0</v>
      </c>
      <c r="L120" s="49">
        <f t="shared" si="27"/>
        <v>0</v>
      </c>
      <c r="M120" s="49">
        <f t="shared" si="27"/>
        <v>0</v>
      </c>
      <c r="N120" s="49">
        <f t="shared" si="27"/>
        <v>0</v>
      </c>
      <c r="O120" s="49">
        <f t="shared" si="27"/>
        <v>188864</v>
      </c>
      <c r="P120" s="264"/>
      <c r="Q120" s="212"/>
      <c r="R120" s="212"/>
      <c r="S120" s="212"/>
      <c r="T120" s="212"/>
      <c r="U120" s="212"/>
      <c r="V120" s="212"/>
      <c r="W120" s="212"/>
      <c r="X120" s="212"/>
      <c r="Y120" s="212"/>
      <c r="Z120" s="212"/>
      <c r="AA120" s="212"/>
      <c r="AB120" s="212"/>
      <c r="AC120" s="212"/>
      <c r="AD120" s="212"/>
      <c r="AE120" s="212"/>
      <c r="AF120" s="212"/>
      <c r="AG120" s="212"/>
      <c r="AH120" s="212"/>
      <c r="AI120" s="212"/>
    </row>
    <row r="121" spans="1:35" s="8" customFormat="1" ht="67.5" customHeight="1">
      <c r="A121" s="7" t="s">
        <v>507</v>
      </c>
      <c r="B121" s="164">
        <v>1010</v>
      </c>
      <c r="C121" s="14" t="s">
        <v>510</v>
      </c>
      <c r="D121" s="51">
        <f>'дод. 3'!E171</f>
        <v>188024</v>
      </c>
      <c r="E121" s="51">
        <f>'дод. 3'!F171</f>
        <v>188024</v>
      </c>
      <c r="F121" s="51">
        <f>'дод. 3'!G171</f>
        <v>0</v>
      </c>
      <c r="G121" s="51">
        <f>'дод. 3'!H171</f>
        <v>0</v>
      </c>
      <c r="H121" s="51">
        <f>'дод. 3'!I171</f>
        <v>0</v>
      </c>
      <c r="I121" s="51">
        <f>'дод. 3'!J171</f>
        <v>0</v>
      </c>
      <c r="J121" s="51">
        <f>'дод. 3'!K171</f>
        <v>0</v>
      </c>
      <c r="K121" s="51">
        <f>'дод. 3'!L171</f>
        <v>0</v>
      </c>
      <c r="L121" s="51">
        <f>'дод. 3'!M171</f>
        <v>0</v>
      </c>
      <c r="M121" s="51">
        <f>'дод. 3'!N171</f>
        <v>0</v>
      </c>
      <c r="N121" s="51">
        <f>'дод. 3'!O171</f>
        <v>0</v>
      </c>
      <c r="O121" s="51">
        <f>'дод. 3'!P171</f>
        <v>188024</v>
      </c>
      <c r="P121" s="264"/>
      <c r="Q121" s="213"/>
      <c r="R121" s="213"/>
      <c r="S121" s="213"/>
      <c r="T121" s="213"/>
      <c r="U121" s="213"/>
      <c r="V121" s="213"/>
      <c r="W121" s="213"/>
      <c r="X121" s="213"/>
      <c r="Y121" s="213"/>
      <c r="Z121" s="213"/>
      <c r="AA121" s="213"/>
      <c r="AB121" s="213"/>
      <c r="AC121" s="213"/>
      <c r="AD121" s="213"/>
      <c r="AE121" s="213"/>
      <c r="AF121" s="213"/>
      <c r="AG121" s="213"/>
      <c r="AH121" s="213"/>
      <c r="AI121" s="213"/>
    </row>
    <row r="122" spans="1:35" s="8" customFormat="1" ht="32.25" customHeight="1">
      <c r="A122" s="7" t="s">
        <v>508</v>
      </c>
      <c r="B122" s="164">
        <v>1010</v>
      </c>
      <c r="C122" s="14" t="s">
        <v>511</v>
      </c>
      <c r="D122" s="51">
        <f>'дод. 3'!E172</f>
        <v>840</v>
      </c>
      <c r="E122" s="51">
        <f>'дод. 3'!F172</f>
        <v>840</v>
      </c>
      <c r="F122" s="51">
        <f>'дод. 3'!G172</f>
        <v>0</v>
      </c>
      <c r="G122" s="51">
        <f>'дод. 3'!H172</f>
        <v>0</v>
      </c>
      <c r="H122" s="51">
        <f>'дод. 3'!I172</f>
        <v>0</v>
      </c>
      <c r="I122" s="51">
        <f>'дод. 3'!J172</f>
        <v>0</v>
      </c>
      <c r="J122" s="51">
        <f>'дод. 3'!K172</f>
        <v>0</v>
      </c>
      <c r="K122" s="51">
        <f>'дод. 3'!L172</f>
        <v>0</v>
      </c>
      <c r="L122" s="51">
        <f>'дод. 3'!M172</f>
        <v>0</v>
      </c>
      <c r="M122" s="51">
        <f>'дод. 3'!N172</f>
        <v>0</v>
      </c>
      <c r="N122" s="51">
        <f>'дод. 3'!O172</f>
        <v>0</v>
      </c>
      <c r="O122" s="51">
        <f>'дод. 3'!P172</f>
        <v>840</v>
      </c>
      <c r="P122" s="264"/>
      <c r="Q122" s="213"/>
      <c r="R122" s="213"/>
      <c r="S122" s="213"/>
      <c r="T122" s="213"/>
      <c r="U122" s="213"/>
      <c r="V122" s="213"/>
      <c r="W122" s="213"/>
      <c r="X122" s="213"/>
      <c r="Y122" s="213"/>
      <c r="Z122" s="213"/>
      <c r="AA122" s="213"/>
      <c r="AB122" s="213"/>
      <c r="AC122" s="213"/>
      <c r="AD122" s="213"/>
      <c r="AE122" s="213"/>
      <c r="AF122" s="213"/>
      <c r="AG122" s="213"/>
      <c r="AH122" s="213"/>
      <c r="AI122" s="213"/>
    </row>
    <row r="123" spans="1:35" ht="85.5" customHeight="1">
      <c r="A123" s="5" t="s">
        <v>153</v>
      </c>
      <c r="B123" s="5" t="s">
        <v>88</v>
      </c>
      <c r="C123" s="13" t="s">
        <v>203</v>
      </c>
      <c r="D123" s="49">
        <f>'дод. 3'!E173</f>
        <v>1242491</v>
      </c>
      <c r="E123" s="49">
        <f>'дод. 3'!F173</f>
        <v>1242491</v>
      </c>
      <c r="F123" s="49">
        <f>'дод. 3'!G173</f>
        <v>0</v>
      </c>
      <c r="G123" s="49">
        <f>'дод. 3'!H173</f>
        <v>0</v>
      </c>
      <c r="H123" s="49">
        <f>'дод. 3'!I173</f>
        <v>0</v>
      </c>
      <c r="I123" s="49">
        <f>'дод. 3'!J173</f>
        <v>0</v>
      </c>
      <c r="J123" s="49">
        <f>'дод. 3'!K173</f>
        <v>0</v>
      </c>
      <c r="K123" s="49">
        <f>'дод. 3'!L173</f>
        <v>0</v>
      </c>
      <c r="L123" s="49">
        <f>'дод. 3'!M173</f>
        <v>0</v>
      </c>
      <c r="M123" s="49">
        <f>'дод. 3'!N173</f>
        <v>0</v>
      </c>
      <c r="N123" s="49">
        <f>'дод. 3'!O173</f>
        <v>0</v>
      </c>
      <c r="O123" s="49">
        <f>'дод. 3'!P173</f>
        <v>1242491</v>
      </c>
      <c r="P123" s="264"/>
      <c r="Q123" s="210"/>
      <c r="R123" s="210"/>
      <c r="S123" s="210"/>
      <c r="T123" s="210"/>
      <c r="U123" s="210"/>
      <c r="V123" s="210"/>
      <c r="W123" s="210"/>
      <c r="X123" s="210"/>
      <c r="Y123" s="210"/>
      <c r="Z123" s="210"/>
      <c r="AA123" s="210"/>
      <c r="AB123" s="210"/>
      <c r="AC123" s="210"/>
      <c r="AD123" s="210"/>
      <c r="AE123" s="210"/>
      <c r="AF123" s="210"/>
      <c r="AG123" s="210"/>
      <c r="AH123" s="210"/>
      <c r="AI123" s="210"/>
    </row>
    <row r="124" spans="1:35" ht="19.5" customHeight="1">
      <c r="A124" s="5" t="s">
        <v>154</v>
      </c>
      <c r="B124" s="32"/>
      <c r="C124" s="13" t="s">
        <v>58</v>
      </c>
      <c r="D124" s="49">
        <f>D125+D126</f>
        <v>2940434</v>
      </c>
      <c r="E124" s="49">
        <f aca="true" t="shared" si="28" ref="E124:O124">E125+E126</f>
        <v>2940434</v>
      </c>
      <c r="F124" s="49">
        <f t="shared" si="28"/>
        <v>0</v>
      </c>
      <c r="G124" s="49">
        <f t="shared" si="28"/>
        <v>0</v>
      </c>
      <c r="H124" s="49">
        <f t="shared" si="28"/>
        <v>0</v>
      </c>
      <c r="I124" s="49">
        <f t="shared" si="28"/>
        <v>0</v>
      </c>
      <c r="J124" s="49">
        <f t="shared" si="28"/>
        <v>0</v>
      </c>
      <c r="K124" s="49">
        <f t="shared" si="28"/>
        <v>0</v>
      </c>
      <c r="L124" s="49">
        <f t="shared" si="28"/>
        <v>0</v>
      </c>
      <c r="M124" s="49">
        <f t="shared" si="28"/>
        <v>0</v>
      </c>
      <c r="N124" s="49">
        <f t="shared" si="28"/>
        <v>0</v>
      </c>
      <c r="O124" s="49">
        <f t="shared" si="28"/>
        <v>2940434</v>
      </c>
      <c r="P124" s="264">
        <v>28</v>
      </c>
      <c r="Q124" s="210"/>
      <c r="R124" s="210"/>
      <c r="S124" s="210"/>
      <c r="T124" s="210"/>
      <c r="U124" s="210"/>
      <c r="V124" s="210"/>
      <c r="W124" s="210"/>
      <c r="X124" s="210"/>
      <c r="Y124" s="210"/>
      <c r="Z124" s="210"/>
      <c r="AA124" s="210"/>
      <c r="AB124" s="210"/>
      <c r="AC124" s="210"/>
      <c r="AD124" s="210"/>
      <c r="AE124" s="210"/>
      <c r="AF124" s="210"/>
      <c r="AG124" s="210"/>
      <c r="AH124" s="210"/>
      <c r="AI124" s="210"/>
    </row>
    <row r="125" spans="1:35" s="8" customFormat="1" ht="42.75" customHeight="1">
      <c r="A125" s="7" t="s">
        <v>454</v>
      </c>
      <c r="B125" s="7" t="s">
        <v>87</v>
      </c>
      <c r="C125" s="14" t="s">
        <v>36</v>
      </c>
      <c r="D125" s="51">
        <f>'дод. 3'!E175</f>
        <v>1748334</v>
      </c>
      <c r="E125" s="51">
        <f>'дод. 3'!F175</f>
        <v>1748334</v>
      </c>
      <c r="F125" s="51">
        <f>'дод. 3'!G175</f>
        <v>0</v>
      </c>
      <c r="G125" s="51">
        <f>'дод. 3'!H175</f>
        <v>0</v>
      </c>
      <c r="H125" s="51">
        <f>'дод. 3'!I175</f>
        <v>0</v>
      </c>
      <c r="I125" s="51">
        <f>'дод. 3'!J175</f>
        <v>0</v>
      </c>
      <c r="J125" s="51">
        <f>'дод. 3'!K175</f>
        <v>0</v>
      </c>
      <c r="K125" s="51">
        <f>'дод. 3'!L175</f>
        <v>0</v>
      </c>
      <c r="L125" s="51">
        <f>'дод. 3'!M175</f>
        <v>0</v>
      </c>
      <c r="M125" s="51">
        <f>'дод. 3'!N175</f>
        <v>0</v>
      </c>
      <c r="N125" s="51">
        <f>'дод. 3'!O175</f>
        <v>0</v>
      </c>
      <c r="O125" s="51">
        <f>'дод. 3'!P175</f>
        <v>1748334</v>
      </c>
      <c r="P125" s="264"/>
      <c r="Q125" s="211"/>
      <c r="R125" s="211"/>
      <c r="S125" s="211"/>
      <c r="T125" s="211"/>
      <c r="U125" s="211"/>
      <c r="V125" s="211"/>
      <c r="W125" s="211"/>
      <c r="X125" s="211"/>
      <c r="Y125" s="211"/>
      <c r="Z125" s="211"/>
      <c r="AA125" s="211"/>
      <c r="AB125" s="211"/>
      <c r="AC125" s="211"/>
      <c r="AD125" s="211"/>
      <c r="AE125" s="211"/>
      <c r="AF125" s="211"/>
      <c r="AG125" s="211"/>
      <c r="AH125" s="211"/>
      <c r="AI125" s="211"/>
    </row>
    <row r="126" spans="1:35" s="8" customFormat="1" ht="55.5" customHeight="1">
      <c r="A126" s="7" t="s">
        <v>455</v>
      </c>
      <c r="B126" s="7" t="s">
        <v>87</v>
      </c>
      <c r="C126" s="14" t="s">
        <v>500</v>
      </c>
      <c r="D126" s="51">
        <f>'дод. 3'!E176</f>
        <v>1192100</v>
      </c>
      <c r="E126" s="51">
        <f>'дод. 3'!F176</f>
        <v>1192100</v>
      </c>
      <c r="F126" s="51">
        <f>'дод. 3'!G176</f>
        <v>0</v>
      </c>
      <c r="G126" s="51">
        <f>'дод. 3'!H176</f>
        <v>0</v>
      </c>
      <c r="H126" s="51">
        <f>'дод. 3'!I176</f>
        <v>0</v>
      </c>
      <c r="I126" s="51">
        <f>'дод. 3'!J176</f>
        <v>0</v>
      </c>
      <c r="J126" s="51">
        <f>'дод. 3'!K176</f>
        <v>0</v>
      </c>
      <c r="K126" s="51">
        <f>'дод. 3'!L176</f>
        <v>0</v>
      </c>
      <c r="L126" s="51">
        <f>'дод. 3'!M176</f>
        <v>0</v>
      </c>
      <c r="M126" s="51">
        <f>'дод. 3'!N176</f>
        <v>0</v>
      </c>
      <c r="N126" s="51">
        <f>'дод. 3'!O176</f>
        <v>0</v>
      </c>
      <c r="O126" s="51">
        <f>'дод. 3'!P176</f>
        <v>1192100</v>
      </c>
      <c r="P126" s="264"/>
      <c r="Q126" s="211"/>
      <c r="R126" s="211"/>
      <c r="S126" s="211"/>
      <c r="T126" s="211"/>
      <c r="U126" s="211"/>
      <c r="V126" s="211"/>
      <c r="W126" s="211"/>
      <c r="X126" s="211"/>
      <c r="Y126" s="211"/>
      <c r="Z126" s="211"/>
      <c r="AA126" s="211"/>
      <c r="AB126" s="211"/>
      <c r="AC126" s="211"/>
      <c r="AD126" s="211"/>
      <c r="AE126" s="211"/>
      <c r="AF126" s="211"/>
      <c r="AG126" s="211"/>
      <c r="AH126" s="211"/>
      <c r="AI126" s="211"/>
    </row>
    <row r="127" spans="1:35" ht="43.5" customHeight="1">
      <c r="A127" s="5" t="s">
        <v>155</v>
      </c>
      <c r="B127" s="5" t="s">
        <v>91</v>
      </c>
      <c r="C127" s="13" t="s">
        <v>225</v>
      </c>
      <c r="D127" s="49">
        <f>'дод. 3'!E177</f>
        <v>75000</v>
      </c>
      <c r="E127" s="49">
        <f>'дод. 3'!F177</f>
        <v>75000</v>
      </c>
      <c r="F127" s="49">
        <f>'дод. 3'!G177</f>
        <v>0</v>
      </c>
      <c r="G127" s="49">
        <f>'дод. 3'!H177</f>
        <v>0</v>
      </c>
      <c r="H127" s="49">
        <f>'дод. 3'!I177</f>
        <v>0</v>
      </c>
      <c r="I127" s="49">
        <f>'дод. 3'!J177</f>
        <v>0</v>
      </c>
      <c r="J127" s="49">
        <f>'дод. 3'!K177</f>
        <v>0</v>
      </c>
      <c r="K127" s="49">
        <f>'дод. 3'!L177</f>
        <v>0</v>
      </c>
      <c r="L127" s="49">
        <f>'дод. 3'!M177</f>
        <v>0</v>
      </c>
      <c r="M127" s="49">
        <f>'дод. 3'!N177</f>
        <v>0</v>
      </c>
      <c r="N127" s="49">
        <f>'дод. 3'!O177</f>
        <v>0</v>
      </c>
      <c r="O127" s="49">
        <f>'дод. 3'!P177</f>
        <v>75000</v>
      </c>
      <c r="P127" s="264"/>
      <c r="Q127" s="210"/>
      <c r="R127" s="210"/>
      <c r="S127" s="210"/>
      <c r="T127" s="210"/>
      <c r="U127" s="210"/>
      <c r="V127" s="210"/>
      <c r="W127" s="210"/>
      <c r="X127" s="210"/>
      <c r="Y127" s="210"/>
      <c r="Z127" s="210"/>
      <c r="AA127" s="210"/>
      <c r="AB127" s="210"/>
      <c r="AC127" s="210"/>
      <c r="AD127" s="210"/>
      <c r="AE127" s="210"/>
      <c r="AF127" s="210"/>
      <c r="AG127" s="210"/>
      <c r="AH127" s="210"/>
      <c r="AI127" s="210"/>
    </row>
    <row r="128" spans="1:35" ht="27.75" customHeight="1">
      <c r="A128" s="5" t="s">
        <v>456</v>
      </c>
      <c r="B128" s="5" t="s">
        <v>156</v>
      </c>
      <c r="C128" s="13" t="s">
        <v>69</v>
      </c>
      <c r="D128" s="49">
        <f>'дод. 3'!E178+'дод. 3'!E203</f>
        <v>865000</v>
      </c>
      <c r="E128" s="49">
        <f>'дод. 3'!F178+'дод. 3'!F203</f>
        <v>865000</v>
      </c>
      <c r="F128" s="49">
        <f>'дод. 3'!G178+'дод. 3'!G203</f>
        <v>258197.1</v>
      </c>
      <c r="G128" s="49">
        <f>'дод. 3'!H178+'дод. 3'!H203</f>
        <v>0</v>
      </c>
      <c r="H128" s="49">
        <f>'дод. 3'!I178+'дод. 3'!I203</f>
        <v>0</v>
      </c>
      <c r="I128" s="49">
        <f>'дод. 3'!J178+'дод. 3'!J203</f>
        <v>0</v>
      </c>
      <c r="J128" s="49">
        <f>'дод. 3'!K178+'дод. 3'!K203</f>
        <v>0</v>
      </c>
      <c r="K128" s="49">
        <f>'дод. 3'!L178+'дод. 3'!L203</f>
        <v>0</v>
      </c>
      <c r="L128" s="49">
        <f>'дод. 3'!M178+'дод. 3'!M203</f>
        <v>0</v>
      </c>
      <c r="M128" s="49">
        <f>'дод. 3'!N178+'дод. 3'!N203</f>
        <v>0</v>
      </c>
      <c r="N128" s="49">
        <f>'дод. 3'!O178+'дод. 3'!O203</f>
        <v>0</v>
      </c>
      <c r="O128" s="49">
        <f>'дод. 3'!P178+'дод. 3'!P203</f>
        <v>865000</v>
      </c>
      <c r="P128" s="264"/>
      <c r="Q128" s="210"/>
      <c r="R128" s="210"/>
      <c r="S128" s="210"/>
      <c r="T128" s="210"/>
      <c r="U128" s="210"/>
      <c r="V128" s="210"/>
      <c r="W128" s="210"/>
      <c r="X128" s="210"/>
      <c r="Y128" s="210"/>
      <c r="Z128" s="210"/>
      <c r="AA128" s="210"/>
      <c r="AB128" s="210"/>
      <c r="AC128" s="210"/>
      <c r="AD128" s="210"/>
      <c r="AE128" s="210"/>
      <c r="AF128" s="210"/>
      <c r="AG128" s="210"/>
      <c r="AH128" s="210"/>
      <c r="AI128" s="210"/>
    </row>
    <row r="129" spans="1:35" ht="161.25" customHeight="1">
      <c r="A129" s="5" t="s">
        <v>566</v>
      </c>
      <c r="B129" s="5" t="s">
        <v>148</v>
      </c>
      <c r="C129" s="13" t="s">
        <v>567</v>
      </c>
      <c r="D129" s="49">
        <f>'дод. 3'!E179</f>
        <v>2695700</v>
      </c>
      <c r="E129" s="49">
        <f>'дод. 3'!F179</f>
        <v>2695700</v>
      </c>
      <c r="F129" s="49">
        <f>'дод. 3'!G179</f>
        <v>0</v>
      </c>
      <c r="G129" s="49">
        <f>'дод. 3'!H179</f>
        <v>0</v>
      </c>
      <c r="H129" s="49">
        <f>'дод. 3'!I179</f>
        <v>0</v>
      </c>
      <c r="I129" s="49">
        <f>'дод. 3'!J179</f>
        <v>0</v>
      </c>
      <c r="J129" s="49">
        <f>'дод. 3'!K179</f>
        <v>0</v>
      </c>
      <c r="K129" s="49">
        <f>'дод. 3'!L179</f>
        <v>0</v>
      </c>
      <c r="L129" s="49">
        <f>'дод. 3'!M179</f>
        <v>0</v>
      </c>
      <c r="M129" s="49">
        <f>'дод. 3'!N179</f>
        <v>0</v>
      </c>
      <c r="N129" s="49">
        <f>'дод. 3'!O179</f>
        <v>0</v>
      </c>
      <c r="O129" s="49">
        <f>'дод. 3'!P179</f>
        <v>2695700</v>
      </c>
      <c r="P129" s="264"/>
      <c r="Q129" s="212"/>
      <c r="R129" s="212"/>
      <c r="S129" s="212"/>
      <c r="T129" s="212"/>
      <c r="U129" s="212"/>
      <c r="V129" s="212"/>
      <c r="W129" s="212"/>
      <c r="X129" s="212"/>
      <c r="Y129" s="212"/>
      <c r="Z129" s="212"/>
      <c r="AA129" s="212"/>
      <c r="AB129" s="212"/>
      <c r="AC129" s="212"/>
      <c r="AD129" s="212"/>
      <c r="AE129" s="212"/>
      <c r="AF129" s="212"/>
      <c r="AG129" s="212"/>
      <c r="AH129" s="212"/>
      <c r="AI129" s="212"/>
    </row>
    <row r="130" spans="2:35" ht="27.75" customHeight="1">
      <c r="B130" s="5"/>
      <c r="C130" s="13" t="s">
        <v>416</v>
      </c>
      <c r="D130" s="49">
        <f>'дод. 3'!E180</f>
        <v>2695700</v>
      </c>
      <c r="E130" s="49">
        <f>'дод. 3'!F180</f>
        <v>2695700</v>
      </c>
      <c r="F130" s="49">
        <f>'дод. 3'!G180</f>
        <v>0</v>
      </c>
      <c r="G130" s="49">
        <f>'дод. 3'!H180</f>
        <v>0</v>
      </c>
      <c r="H130" s="49">
        <f>'дод. 3'!I180</f>
        <v>0</v>
      </c>
      <c r="I130" s="49">
        <f>'дод. 3'!J180</f>
        <v>0</v>
      </c>
      <c r="J130" s="49">
        <f>'дод. 3'!K180</f>
        <v>0</v>
      </c>
      <c r="K130" s="49">
        <f>'дод. 3'!L180</f>
        <v>0</v>
      </c>
      <c r="L130" s="49">
        <f>'дод. 3'!M180</f>
        <v>0</v>
      </c>
      <c r="M130" s="49">
        <f>'дод. 3'!N180</f>
        <v>0</v>
      </c>
      <c r="N130" s="49">
        <f>'дод. 3'!O180</f>
        <v>0</v>
      </c>
      <c r="O130" s="49">
        <f>'дод. 3'!P180</f>
        <v>2695700</v>
      </c>
      <c r="P130" s="264"/>
      <c r="Q130" s="212"/>
      <c r="R130" s="212"/>
      <c r="S130" s="212"/>
      <c r="T130" s="212"/>
      <c r="U130" s="212"/>
      <c r="V130" s="212"/>
      <c r="W130" s="212"/>
      <c r="X130" s="212"/>
      <c r="Y130" s="212"/>
      <c r="Z130" s="212"/>
      <c r="AA130" s="212"/>
      <c r="AB130" s="212"/>
      <c r="AC130" s="212"/>
      <c r="AD130" s="212"/>
      <c r="AE130" s="212"/>
      <c r="AF130" s="212"/>
      <c r="AG130" s="212"/>
      <c r="AH130" s="212"/>
      <c r="AI130" s="212"/>
    </row>
    <row r="131" spans="1:35" ht="29.25" customHeight="1">
      <c r="A131" s="5" t="s">
        <v>457</v>
      </c>
      <c r="B131" s="5"/>
      <c r="C131" s="13" t="s">
        <v>458</v>
      </c>
      <c r="D131" s="49">
        <f>D132+D133</f>
        <v>34375408</v>
      </c>
      <c r="E131" s="49">
        <f aca="true" t="shared" si="29" ref="E131:O131">E132+E133</f>
        <v>34375408</v>
      </c>
      <c r="F131" s="49">
        <f t="shared" si="29"/>
        <v>2887935</v>
      </c>
      <c r="G131" s="49">
        <f t="shared" si="29"/>
        <v>770758</v>
      </c>
      <c r="H131" s="49">
        <f t="shared" si="29"/>
        <v>0</v>
      </c>
      <c r="I131" s="49">
        <f t="shared" si="29"/>
        <v>375000</v>
      </c>
      <c r="J131" s="49">
        <f t="shared" si="29"/>
        <v>0</v>
      </c>
      <c r="K131" s="49">
        <f t="shared" si="29"/>
        <v>0</v>
      </c>
      <c r="L131" s="49">
        <f t="shared" si="29"/>
        <v>0</v>
      </c>
      <c r="M131" s="49">
        <f t="shared" si="29"/>
        <v>375000</v>
      </c>
      <c r="N131" s="49">
        <f t="shared" si="29"/>
        <v>375000</v>
      </c>
      <c r="O131" s="49">
        <f t="shared" si="29"/>
        <v>34750408</v>
      </c>
      <c r="P131" s="264"/>
      <c r="Q131" s="210"/>
      <c r="R131" s="210"/>
      <c r="S131" s="210"/>
      <c r="T131" s="210"/>
      <c r="U131" s="210"/>
      <c r="V131" s="210"/>
      <c r="W131" s="210"/>
      <c r="X131" s="210"/>
      <c r="Y131" s="210"/>
      <c r="Z131" s="210"/>
      <c r="AA131" s="210"/>
      <c r="AB131" s="210"/>
      <c r="AC131" s="210"/>
      <c r="AD131" s="210"/>
      <c r="AE131" s="210"/>
      <c r="AF131" s="210"/>
      <c r="AG131" s="210"/>
      <c r="AH131" s="210"/>
      <c r="AI131" s="210"/>
    </row>
    <row r="132" spans="1:35" s="8" customFormat="1" ht="32.25" customHeight="1">
      <c r="A132" s="7" t="s">
        <v>459</v>
      </c>
      <c r="B132" s="7" t="s">
        <v>91</v>
      </c>
      <c r="C132" s="14" t="s">
        <v>461</v>
      </c>
      <c r="D132" s="51">
        <f>'дод. 3'!E26+'дод. 3'!E182</f>
        <v>5059216</v>
      </c>
      <c r="E132" s="51">
        <f>'дод. 3'!F26+'дод. 3'!F182</f>
        <v>5059216</v>
      </c>
      <c r="F132" s="51">
        <f>'дод. 3'!G26+'дод. 3'!G182</f>
        <v>2887935</v>
      </c>
      <c r="G132" s="51">
        <f>'дод. 3'!H26+'дод. 3'!H182</f>
        <v>770758</v>
      </c>
      <c r="H132" s="51">
        <f>'дод. 3'!I26+'дод. 3'!I182</f>
        <v>0</v>
      </c>
      <c r="I132" s="51">
        <f>'дод. 3'!J26+'дод. 3'!J182</f>
        <v>300000</v>
      </c>
      <c r="J132" s="51">
        <f>'дод. 3'!K26+'дод. 3'!K182</f>
        <v>0</v>
      </c>
      <c r="K132" s="51">
        <f>'дод. 3'!L26+'дод. 3'!L182</f>
        <v>0</v>
      </c>
      <c r="L132" s="51">
        <f>'дод. 3'!M26+'дод. 3'!M182</f>
        <v>0</v>
      </c>
      <c r="M132" s="51">
        <f>'дод. 3'!N26+'дод. 3'!N182</f>
        <v>300000</v>
      </c>
      <c r="N132" s="51">
        <f>'дод. 3'!O26+'дод. 3'!O182</f>
        <v>300000</v>
      </c>
      <c r="O132" s="51">
        <f>'дод. 3'!P26+'дод. 3'!P182</f>
        <v>5359216</v>
      </c>
      <c r="P132" s="264"/>
      <c r="Q132" s="211"/>
      <c r="R132" s="211"/>
      <c r="S132" s="211"/>
      <c r="T132" s="211"/>
      <c r="U132" s="211"/>
      <c r="V132" s="211"/>
      <c r="W132" s="211"/>
      <c r="X132" s="211"/>
      <c r="Y132" s="211"/>
      <c r="Z132" s="211"/>
      <c r="AA132" s="211"/>
      <c r="AB132" s="211"/>
      <c r="AC132" s="211"/>
      <c r="AD132" s="211"/>
      <c r="AE132" s="211"/>
      <c r="AF132" s="211"/>
      <c r="AG132" s="211"/>
      <c r="AH132" s="211"/>
      <c r="AI132" s="211"/>
    </row>
    <row r="133" spans="1:35" s="8" customFormat="1" ht="41.25" customHeight="1">
      <c r="A133" s="7" t="s">
        <v>460</v>
      </c>
      <c r="B133" s="7" t="s">
        <v>91</v>
      </c>
      <c r="C133" s="14" t="s">
        <v>462</v>
      </c>
      <c r="D133" s="51">
        <f>'дод. 3'!E27+'дод. 3'!E183+'дод. 3'!E80</f>
        <v>29316192</v>
      </c>
      <c r="E133" s="51">
        <f>'дод. 3'!F27+'дод. 3'!F183+'дод. 3'!F80</f>
        <v>29316192</v>
      </c>
      <c r="F133" s="51">
        <f>'дод. 3'!G27+'дод. 3'!G183+'дод. 3'!G80</f>
        <v>0</v>
      </c>
      <c r="G133" s="51">
        <f>'дод. 3'!H27+'дод. 3'!H183+'дод. 3'!H80</f>
        <v>0</v>
      </c>
      <c r="H133" s="51">
        <f>'дод. 3'!I27+'дод. 3'!I183+'дод. 3'!I80</f>
        <v>0</v>
      </c>
      <c r="I133" s="51">
        <f>'дод. 3'!J27+'дод. 3'!J183+'дод. 3'!J80</f>
        <v>75000</v>
      </c>
      <c r="J133" s="51">
        <f>'дод. 3'!K27+'дод. 3'!K183+'дод. 3'!K80</f>
        <v>0</v>
      </c>
      <c r="K133" s="51">
        <f>'дод. 3'!L27+'дод. 3'!L183+'дод. 3'!L80</f>
        <v>0</v>
      </c>
      <c r="L133" s="51">
        <f>'дод. 3'!M27+'дод. 3'!M183+'дод. 3'!M80</f>
        <v>0</v>
      </c>
      <c r="M133" s="51">
        <f>'дод. 3'!N27+'дод. 3'!N183+'дод. 3'!N80</f>
        <v>75000</v>
      </c>
      <c r="N133" s="51">
        <f>'дод. 3'!O27+'дод. 3'!O183+'дод. 3'!O80</f>
        <v>75000</v>
      </c>
      <c r="O133" s="51">
        <f>'дод. 3'!P27+'дод. 3'!P183+'дод. 3'!P80</f>
        <v>29391192</v>
      </c>
      <c r="P133" s="264"/>
      <c r="Q133" s="213"/>
      <c r="R133" s="213"/>
      <c r="S133" s="213"/>
      <c r="T133" s="213"/>
      <c r="U133" s="213"/>
      <c r="V133" s="213"/>
      <c r="W133" s="213"/>
      <c r="X133" s="213"/>
      <c r="Y133" s="213"/>
      <c r="Z133" s="213"/>
      <c r="AA133" s="213"/>
      <c r="AB133" s="213"/>
      <c r="AC133" s="213"/>
      <c r="AD133" s="213"/>
      <c r="AE133" s="213"/>
      <c r="AF133" s="213"/>
      <c r="AG133" s="213"/>
      <c r="AH133" s="213"/>
      <c r="AI133" s="213"/>
    </row>
    <row r="134" spans="1:35" s="22" customFormat="1" ht="19.5" customHeight="1">
      <c r="A134" s="23" t="s">
        <v>112</v>
      </c>
      <c r="B134" s="11"/>
      <c r="C134" s="11" t="s">
        <v>113</v>
      </c>
      <c r="D134" s="50">
        <f>D135+D137+D136</f>
        <v>23659302</v>
      </c>
      <c r="E134" s="50">
        <f aca="true" t="shared" si="30" ref="E134:O134">E135+E137+E136</f>
        <v>23659302</v>
      </c>
      <c r="F134" s="50">
        <f t="shared" si="30"/>
        <v>14067674</v>
      </c>
      <c r="G134" s="50">
        <f t="shared" si="30"/>
        <v>1251536</v>
      </c>
      <c r="H134" s="50">
        <f t="shared" si="30"/>
        <v>0</v>
      </c>
      <c r="I134" s="50">
        <f t="shared" si="30"/>
        <v>1276050</v>
      </c>
      <c r="J134" s="50">
        <f t="shared" si="30"/>
        <v>27000</v>
      </c>
      <c r="K134" s="50">
        <f t="shared" si="30"/>
        <v>5000</v>
      </c>
      <c r="L134" s="50">
        <f t="shared" si="30"/>
        <v>0</v>
      </c>
      <c r="M134" s="50">
        <f t="shared" si="30"/>
        <v>1249050</v>
      </c>
      <c r="N134" s="50">
        <f t="shared" si="30"/>
        <v>1249050</v>
      </c>
      <c r="O134" s="50">
        <f t="shared" si="30"/>
        <v>24935352</v>
      </c>
      <c r="P134" s="264"/>
      <c r="Q134" s="214"/>
      <c r="R134" s="214"/>
      <c r="S134" s="214"/>
      <c r="T134" s="214"/>
      <c r="U134" s="214"/>
      <c r="V134" s="214"/>
      <c r="W134" s="214"/>
      <c r="X134" s="214"/>
      <c r="Y134" s="214"/>
      <c r="Z134" s="214"/>
      <c r="AA134" s="214"/>
      <c r="AB134" s="214"/>
      <c r="AC134" s="214"/>
      <c r="AD134" s="214"/>
      <c r="AE134" s="214"/>
      <c r="AF134" s="214"/>
      <c r="AG134" s="214"/>
      <c r="AH134" s="214"/>
      <c r="AI134" s="214"/>
    </row>
    <row r="135" spans="1:35" ht="22.5" customHeight="1">
      <c r="A135" s="5" t="s">
        <v>114</v>
      </c>
      <c r="B135" s="5" t="s">
        <v>115</v>
      </c>
      <c r="C135" s="13" t="s">
        <v>29</v>
      </c>
      <c r="D135" s="49">
        <f>'дод. 3'!E195</f>
        <v>16222670</v>
      </c>
      <c r="E135" s="49">
        <f>'дод. 3'!F195</f>
        <v>16222670</v>
      </c>
      <c r="F135" s="49">
        <f>'дод. 3'!G195</f>
        <v>11407051</v>
      </c>
      <c r="G135" s="49">
        <f>'дод. 3'!H195</f>
        <v>1115260</v>
      </c>
      <c r="H135" s="49">
        <f>'дод. 3'!I195</f>
        <v>0</v>
      </c>
      <c r="I135" s="49">
        <f>'дод. 3'!J195</f>
        <v>1177050</v>
      </c>
      <c r="J135" s="49">
        <f>'дод. 3'!K195</f>
        <v>27000</v>
      </c>
      <c r="K135" s="49">
        <f>'дод. 3'!L195</f>
        <v>5000</v>
      </c>
      <c r="L135" s="49">
        <f>'дод. 3'!M195</f>
        <v>0</v>
      </c>
      <c r="M135" s="49">
        <f>'дод. 3'!N195</f>
        <v>1150050</v>
      </c>
      <c r="N135" s="49">
        <f>'дод. 3'!O195</f>
        <v>1150050</v>
      </c>
      <c r="O135" s="49">
        <f>'дод. 3'!P195</f>
        <v>17399720</v>
      </c>
      <c r="P135" s="264"/>
      <c r="Q135" s="210"/>
      <c r="R135" s="210"/>
      <c r="S135" s="210"/>
      <c r="T135" s="210"/>
      <c r="U135" s="210"/>
      <c r="V135" s="210"/>
      <c r="W135" s="210"/>
      <c r="X135" s="210"/>
      <c r="Y135" s="210"/>
      <c r="Z135" s="210"/>
      <c r="AA135" s="210"/>
      <c r="AB135" s="210"/>
      <c r="AC135" s="210"/>
      <c r="AD135" s="210"/>
      <c r="AE135" s="210"/>
      <c r="AF135" s="210"/>
      <c r="AG135" s="210"/>
      <c r="AH135" s="210"/>
      <c r="AI135" s="210"/>
    </row>
    <row r="136" spans="1:35" ht="33.75" customHeight="1">
      <c r="A136" s="5" t="s">
        <v>593</v>
      </c>
      <c r="B136" s="5" t="s">
        <v>594</v>
      </c>
      <c r="C136" s="13" t="s">
        <v>595</v>
      </c>
      <c r="D136" s="49">
        <f>'дод. 3'!E28</f>
        <v>1551300</v>
      </c>
      <c r="E136" s="49">
        <f>'дод. 3'!F28</f>
        <v>1551300</v>
      </c>
      <c r="F136" s="49">
        <f>'дод. 3'!G28</f>
        <v>783989</v>
      </c>
      <c r="G136" s="49">
        <f>'дод. 3'!H28</f>
        <v>37625</v>
      </c>
      <c r="H136" s="49">
        <f>'дод. 3'!I28</f>
        <v>0</v>
      </c>
      <c r="I136" s="49">
        <f>'дод. 3'!J28</f>
        <v>28500</v>
      </c>
      <c r="J136" s="49">
        <f>'дод. 3'!K28</f>
        <v>0</v>
      </c>
      <c r="K136" s="49">
        <f>'дод. 3'!L28</f>
        <v>0</v>
      </c>
      <c r="L136" s="49">
        <f>'дод. 3'!M28</f>
        <v>0</v>
      </c>
      <c r="M136" s="49">
        <f>'дод. 3'!N28</f>
        <v>28500</v>
      </c>
      <c r="N136" s="49">
        <f>'дод. 3'!O28</f>
        <v>28500</v>
      </c>
      <c r="O136" s="49">
        <f>'дод. 3'!P28</f>
        <v>1579800</v>
      </c>
      <c r="P136" s="264"/>
      <c r="Q136" s="210"/>
      <c r="R136" s="210"/>
      <c r="S136" s="210"/>
      <c r="T136" s="210"/>
      <c r="U136" s="210"/>
      <c r="V136" s="210"/>
      <c r="W136" s="210"/>
      <c r="X136" s="210"/>
      <c r="Y136" s="210"/>
      <c r="Z136" s="210"/>
      <c r="AA136" s="210"/>
      <c r="AB136" s="210"/>
      <c r="AC136" s="210"/>
      <c r="AD136" s="210"/>
      <c r="AE136" s="210"/>
      <c r="AF136" s="210"/>
      <c r="AG136" s="210"/>
      <c r="AH136" s="210"/>
      <c r="AI136" s="210"/>
    </row>
    <row r="137" spans="1:35" ht="27.75" customHeight="1">
      <c r="A137" s="5" t="s">
        <v>31</v>
      </c>
      <c r="B137" s="5"/>
      <c r="C137" s="13" t="s">
        <v>463</v>
      </c>
      <c r="D137" s="49">
        <f>'дод. 3'!E29+'дод. 3'!E196</f>
        <v>5885332</v>
      </c>
      <c r="E137" s="49">
        <f>'дод. 3'!F29+'дод. 3'!F196</f>
        <v>5885332</v>
      </c>
      <c r="F137" s="49">
        <f>'дод. 3'!G29+'дод. 3'!G196</f>
        <v>1876634</v>
      </c>
      <c r="G137" s="49">
        <f>'дод. 3'!H29+'дод. 3'!H196</f>
        <v>98651</v>
      </c>
      <c r="H137" s="49">
        <f>'дод. 3'!I29+'дод. 3'!I196</f>
        <v>0</v>
      </c>
      <c r="I137" s="49">
        <f>'дод. 3'!J29+'дод. 3'!J196</f>
        <v>70500</v>
      </c>
      <c r="J137" s="49">
        <f>'дод. 3'!K29+'дод. 3'!K196</f>
        <v>0</v>
      </c>
      <c r="K137" s="49">
        <f>'дод. 3'!L29+'дод. 3'!L196</f>
        <v>0</v>
      </c>
      <c r="L137" s="49">
        <f>'дод. 3'!M29+'дод. 3'!M196</f>
        <v>0</v>
      </c>
      <c r="M137" s="49">
        <f>'дод. 3'!N29+'дод. 3'!N196</f>
        <v>70500</v>
      </c>
      <c r="N137" s="49">
        <f>'дод. 3'!O29+'дод. 3'!O196</f>
        <v>70500</v>
      </c>
      <c r="O137" s="49">
        <f>'дод. 3'!P29+'дод. 3'!P196</f>
        <v>5955832</v>
      </c>
      <c r="P137" s="264"/>
      <c r="Q137" s="210"/>
      <c r="R137" s="210"/>
      <c r="S137" s="210"/>
      <c r="T137" s="210"/>
      <c r="U137" s="210"/>
      <c r="V137" s="210"/>
      <c r="W137" s="210"/>
      <c r="X137" s="210"/>
      <c r="Y137" s="210"/>
      <c r="Z137" s="210"/>
      <c r="AA137" s="210"/>
      <c r="AB137" s="210"/>
      <c r="AC137" s="210"/>
      <c r="AD137" s="210"/>
      <c r="AE137" s="210"/>
      <c r="AF137" s="210"/>
      <c r="AG137" s="210"/>
      <c r="AH137" s="210"/>
      <c r="AI137" s="210"/>
    </row>
    <row r="138" spans="1:35" s="8" customFormat="1" ht="39.75" customHeight="1">
      <c r="A138" s="7" t="s">
        <v>464</v>
      </c>
      <c r="B138" s="7" t="s">
        <v>116</v>
      </c>
      <c r="C138" s="14" t="s">
        <v>466</v>
      </c>
      <c r="D138" s="51">
        <f>'дод. 3'!E30+'дод. 3'!E197</f>
        <v>3371180</v>
      </c>
      <c r="E138" s="51">
        <f>'дод. 3'!F30+'дод. 3'!F197</f>
        <v>3371180</v>
      </c>
      <c r="F138" s="51">
        <f>'дод. 3'!G30+'дод. 3'!G197</f>
        <v>1876634</v>
      </c>
      <c r="G138" s="51">
        <f>'дод. 3'!H30+'дод. 3'!H197</f>
        <v>98651</v>
      </c>
      <c r="H138" s="51">
        <f>'дод. 3'!I30+'дод. 3'!I197</f>
        <v>0</v>
      </c>
      <c r="I138" s="51">
        <f>'дод. 3'!J30+'дод. 3'!J197</f>
        <v>70500</v>
      </c>
      <c r="J138" s="51">
        <f>'дод. 3'!K30+'дод. 3'!K197</f>
        <v>0</v>
      </c>
      <c r="K138" s="51">
        <f>'дод. 3'!L30+'дод. 3'!L197</f>
        <v>0</v>
      </c>
      <c r="L138" s="51">
        <f>'дод. 3'!M30+'дод. 3'!M197</f>
        <v>0</v>
      </c>
      <c r="M138" s="51">
        <f>'дод. 3'!N30+'дод. 3'!N197</f>
        <v>70500</v>
      </c>
      <c r="N138" s="51">
        <f>'дод. 3'!O30+'дод. 3'!O197</f>
        <v>70500</v>
      </c>
      <c r="O138" s="51">
        <f>'дод. 3'!P30+'дод. 3'!P197</f>
        <v>3441680</v>
      </c>
      <c r="P138" s="264"/>
      <c r="Q138" s="211"/>
      <c r="R138" s="211"/>
      <c r="S138" s="211"/>
      <c r="T138" s="211"/>
      <c r="U138" s="211"/>
      <c r="V138" s="211"/>
      <c r="W138" s="211"/>
      <c r="X138" s="211"/>
      <c r="Y138" s="211"/>
      <c r="Z138" s="211"/>
      <c r="AA138" s="211"/>
      <c r="AB138" s="211"/>
      <c r="AC138" s="211"/>
      <c r="AD138" s="211"/>
      <c r="AE138" s="211"/>
      <c r="AF138" s="211"/>
      <c r="AG138" s="211"/>
      <c r="AH138" s="211"/>
      <c r="AI138" s="211"/>
    </row>
    <row r="139" spans="1:35" s="8" customFormat="1" ht="30" customHeight="1">
      <c r="A139" s="7" t="s">
        <v>465</v>
      </c>
      <c r="B139" s="7" t="s">
        <v>116</v>
      </c>
      <c r="C139" s="14" t="s">
        <v>467</v>
      </c>
      <c r="D139" s="51">
        <f>'дод. 3'!E31+'дод. 3'!E198</f>
        <v>2514152</v>
      </c>
      <c r="E139" s="51">
        <f>'дод. 3'!F31+'дод. 3'!F198</f>
        <v>2514152</v>
      </c>
      <c r="F139" s="51">
        <f>'дод. 3'!G31+'дод. 3'!G198</f>
        <v>0</v>
      </c>
      <c r="G139" s="51">
        <f>'дод. 3'!H31+'дод. 3'!H198</f>
        <v>0</v>
      </c>
      <c r="H139" s="51">
        <f>'дод. 3'!I31+'дод. 3'!I198</f>
        <v>0</v>
      </c>
      <c r="I139" s="51">
        <f>'дод. 3'!J31+'дод. 3'!J198</f>
        <v>0</v>
      </c>
      <c r="J139" s="51">
        <f>'дод. 3'!K31+'дод. 3'!K198</f>
        <v>0</v>
      </c>
      <c r="K139" s="51">
        <f>'дод. 3'!L31+'дод. 3'!L198</f>
        <v>0</v>
      </c>
      <c r="L139" s="51">
        <f>'дод. 3'!M31+'дод. 3'!M198</f>
        <v>0</v>
      </c>
      <c r="M139" s="51">
        <f>'дод. 3'!N31+'дод. 3'!N198</f>
        <v>0</v>
      </c>
      <c r="N139" s="51">
        <f>'дод. 3'!O31+'дод. 3'!O198</f>
        <v>0</v>
      </c>
      <c r="O139" s="51">
        <f>'дод. 3'!P31+'дод. 3'!P198</f>
        <v>2514152</v>
      </c>
      <c r="P139" s="264"/>
      <c r="Q139" s="211"/>
      <c r="R139" s="211"/>
      <c r="S139" s="211"/>
      <c r="T139" s="211"/>
      <c r="U139" s="211"/>
      <c r="V139" s="211"/>
      <c r="W139" s="211"/>
      <c r="X139" s="211"/>
      <c r="Y139" s="211"/>
      <c r="Z139" s="211"/>
      <c r="AA139" s="211"/>
      <c r="AB139" s="211"/>
      <c r="AC139" s="211"/>
      <c r="AD139" s="211"/>
      <c r="AE139" s="211"/>
      <c r="AF139" s="211"/>
      <c r="AG139" s="211"/>
      <c r="AH139" s="211"/>
      <c r="AI139" s="211"/>
    </row>
    <row r="140" spans="1:35" s="22" customFormat="1" ht="21.75" customHeight="1">
      <c r="A140" s="23" t="s">
        <v>119</v>
      </c>
      <c r="B140" s="11"/>
      <c r="C140" s="11" t="s">
        <v>120</v>
      </c>
      <c r="D140" s="50">
        <f>D141+D144+D147</f>
        <v>31488860</v>
      </c>
      <c r="E140" s="50">
        <f aca="true" t="shared" si="31" ref="E140:O140">E141+E144+E147</f>
        <v>31488860</v>
      </c>
      <c r="F140" s="50">
        <f t="shared" si="31"/>
        <v>11362400</v>
      </c>
      <c r="G140" s="50">
        <f t="shared" si="31"/>
        <v>1192100</v>
      </c>
      <c r="H140" s="50">
        <f t="shared" si="31"/>
        <v>0</v>
      </c>
      <c r="I140" s="50">
        <f t="shared" si="31"/>
        <v>723687</v>
      </c>
      <c r="J140" s="50">
        <f t="shared" si="31"/>
        <v>226687</v>
      </c>
      <c r="K140" s="50">
        <f t="shared" si="31"/>
        <v>141022</v>
      </c>
      <c r="L140" s="50">
        <f t="shared" si="31"/>
        <v>53404</v>
      </c>
      <c r="M140" s="50">
        <f t="shared" si="31"/>
        <v>497000</v>
      </c>
      <c r="N140" s="50">
        <f t="shared" si="31"/>
        <v>497000</v>
      </c>
      <c r="O140" s="50">
        <f t="shared" si="31"/>
        <v>32212547</v>
      </c>
      <c r="P140" s="264"/>
      <c r="Q140" s="214"/>
      <c r="R140" s="214"/>
      <c r="S140" s="214"/>
      <c r="T140" s="214"/>
      <c r="U140" s="214"/>
      <c r="V140" s="214"/>
      <c r="W140" s="214"/>
      <c r="X140" s="214"/>
      <c r="Y140" s="214"/>
      <c r="Z140" s="214"/>
      <c r="AA140" s="214"/>
      <c r="AB140" s="214"/>
      <c r="AC140" s="214"/>
      <c r="AD140" s="214"/>
      <c r="AE140" s="214"/>
      <c r="AF140" s="214"/>
      <c r="AG140" s="214"/>
      <c r="AH140" s="214"/>
      <c r="AI140" s="214"/>
    </row>
    <row r="141" spans="1:35" ht="29.25" customHeight="1">
      <c r="A141" s="5" t="s">
        <v>121</v>
      </c>
      <c r="B141" s="13"/>
      <c r="C141" s="13" t="s">
        <v>42</v>
      </c>
      <c r="D141" s="49">
        <f>D142+D143</f>
        <v>1476070</v>
      </c>
      <c r="E141" s="49">
        <f aca="true" t="shared" si="32" ref="E141:O141">E142+E143</f>
        <v>1476070</v>
      </c>
      <c r="F141" s="49">
        <f t="shared" si="32"/>
        <v>0</v>
      </c>
      <c r="G141" s="49">
        <f t="shared" si="32"/>
        <v>0</v>
      </c>
      <c r="H141" s="49">
        <f t="shared" si="32"/>
        <v>0</v>
      </c>
      <c r="I141" s="49">
        <f t="shared" si="32"/>
        <v>177000</v>
      </c>
      <c r="J141" s="49">
        <f t="shared" si="32"/>
        <v>0</v>
      </c>
      <c r="K141" s="49">
        <f t="shared" si="32"/>
        <v>0</v>
      </c>
      <c r="L141" s="49">
        <f t="shared" si="32"/>
        <v>0</v>
      </c>
      <c r="M141" s="49">
        <f t="shared" si="32"/>
        <v>177000</v>
      </c>
      <c r="N141" s="49">
        <f t="shared" si="32"/>
        <v>177000</v>
      </c>
      <c r="O141" s="49">
        <f t="shared" si="32"/>
        <v>1653070</v>
      </c>
      <c r="P141" s="264"/>
      <c r="Q141" s="210"/>
      <c r="R141" s="210"/>
      <c r="S141" s="210"/>
      <c r="T141" s="210"/>
      <c r="U141" s="210"/>
      <c r="V141" s="210"/>
      <c r="W141" s="210"/>
      <c r="X141" s="210"/>
      <c r="Y141" s="210"/>
      <c r="Z141" s="210"/>
      <c r="AA141" s="210"/>
      <c r="AB141" s="210"/>
      <c r="AC141" s="210"/>
      <c r="AD141" s="210"/>
      <c r="AE141" s="210"/>
      <c r="AF141" s="210"/>
      <c r="AG141" s="210"/>
      <c r="AH141" s="210"/>
      <c r="AI141" s="210"/>
    </row>
    <row r="142" spans="1:35" s="8" customFormat="1" ht="43.5" customHeight="1">
      <c r="A142" s="7" t="s">
        <v>122</v>
      </c>
      <c r="B142" s="7" t="s">
        <v>123</v>
      </c>
      <c r="C142" s="14" t="s">
        <v>43</v>
      </c>
      <c r="D142" s="51">
        <f>'дод. 3'!E33</f>
        <v>776070</v>
      </c>
      <c r="E142" s="51">
        <f>'дод. 3'!F33</f>
        <v>776070</v>
      </c>
      <c r="F142" s="51">
        <f>'дод. 3'!G33</f>
        <v>0</v>
      </c>
      <c r="G142" s="51">
        <f>'дод. 3'!H33</f>
        <v>0</v>
      </c>
      <c r="H142" s="51">
        <f>'дод. 3'!I33</f>
        <v>0</v>
      </c>
      <c r="I142" s="51">
        <f>'дод. 3'!J33</f>
        <v>177000</v>
      </c>
      <c r="J142" s="51">
        <f>'дод. 3'!K33</f>
        <v>0</v>
      </c>
      <c r="K142" s="51">
        <f>'дод. 3'!L33</f>
        <v>0</v>
      </c>
      <c r="L142" s="51">
        <f>'дод. 3'!M33</f>
        <v>0</v>
      </c>
      <c r="M142" s="51">
        <f>'дод. 3'!N33</f>
        <v>177000</v>
      </c>
      <c r="N142" s="51">
        <f>'дод. 3'!O33</f>
        <v>177000</v>
      </c>
      <c r="O142" s="51">
        <f>'дод. 3'!P33</f>
        <v>953070</v>
      </c>
      <c r="P142" s="264"/>
      <c r="Q142" s="211"/>
      <c r="R142" s="211"/>
      <c r="S142" s="211"/>
      <c r="T142" s="211"/>
      <c r="U142" s="211"/>
      <c r="V142" s="211"/>
      <c r="W142" s="211"/>
      <c r="X142" s="211"/>
      <c r="Y142" s="211"/>
      <c r="Z142" s="211"/>
      <c r="AA142" s="211"/>
      <c r="AB142" s="211"/>
      <c r="AC142" s="211"/>
      <c r="AD142" s="211"/>
      <c r="AE142" s="211"/>
      <c r="AF142" s="211"/>
      <c r="AG142" s="211"/>
      <c r="AH142" s="211"/>
      <c r="AI142" s="211"/>
    </row>
    <row r="143" spans="1:35" s="8" customFormat="1" ht="39.75" customHeight="1">
      <c r="A143" s="7" t="s">
        <v>124</v>
      </c>
      <c r="B143" s="7" t="s">
        <v>123</v>
      </c>
      <c r="C143" s="14" t="s">
        <v>32</v>
      </c>
      <c r="D143" s="51">
        <f>'дод. 3'!E34</f>
        <v>700000</v>
      </c>
      <c r="E143" s="51">
        <f>'дод. 3'!F34</f>
        <v>700000</v>
      </c>
      <c r="F143" s="51">
        <f>'дод. 3'!G34</f>
        <v>0</v>
      </c>
      <c r="G143" s="51">
        <f>'дод. 3'!H34</f>
        <v>0</v>
      </c>
      <c r="H143" s="51">
        <f>'дод. 3'!I34</f>
        <v>0</v>
      </c>
      <c r="I143" s="51">
        <f>'дод. 3'!J34</f>
        <v>0</v>
      </c>
      <c r="J143" s="51">
        <f>'дод. 3'!K34</f>
        <v>0</v>
      </c>
      <c r="K143" s="51">
        <f>'дод. 3'!L34</f>
        <v>0</v>
      </c>
      <c r="L143" s="51">
        <f>'дод. 3'!M34</f>
        <v>0</v>
      </c>
      <c r="M143" s="51">
        <f>'дод. 3'!N34</f>
        <v>0</v>
      </c>
      <c r="N143" s="51">
        <f>'дод. 3'!O34</f>
        <v>0</v>
      </c>
      <c r="O143" s="51">
        <f>'дод. 3'!P34</f>
        <v>700000</v>
      </c>
      <c r="P143" s="264"/>
      <c r="Q143" s="211"/>
      <c r="R143" s="211"/>
      <c r="S143" s="211"/>
      <c r="T143" s="211"/>
      <c r="U143" s="211"/>
      <c r="V143" s="211"/>
      <c r="W143" s="211"/>
      <c r="X143" s="211"/>
      <c r="Y143" s="211"/>
      <c r="Z143" s="211"/>
      <c r="AA143" s="211"/>
      <c r="AB143" s="211"/>
      <c r="AC143" s="211"/>
      <c r="AD143" s="211"/>
      <c r="AE143" s="211"/>
      <c r="AF143" s="211"/>
      <c r="AG143" s="211"/>
      <c r="AH143" s="211"/>
      <c r="AI143" s="211"/>
    </row>
    <row r="144" spans="1:35" ht="30.75" customHeight="1">
      <c r="A144" s="5" t="s">
        <v>174</v>
      </c>
      <c r="B144" s="5"/>
      <c r="C144" s="13" t="s">
        <v>177</v>
      </c>
      <c r="D144" s="49">
        <f>D145+D146</f>
        <v>21522790</v>
      </c>
      <c r="E144" s="49">
        <f aca="true" t="shared" si="33" ref="E144:O144">E145+E146</f>
        <v>21522790</v>
      </c>
      <c r="F144" s="49">
        <f t="shared" si="33"/>
        <v>9677400</v>
      </c>
      <c r="G144" s="49">
        <f t="shared" si="33"/>
        <v>784890</v>
      </c>
      <c r="H144" s="49">
        <f t="shared" si="33"/>
        <v>0</v>
      </c>
      <c r="I144" s="49">
        <f t="shared" si="33"/>
        <v>300000</v>
      </c>
      <c r="J144" s="49">
        <f t="shared" si="33"/>
        <v>0</v>
      </c>
      <c r="K144" s="49">
        <f t="shared" si="33"/>
        <v>0</v>
      </c>
      <c r="L144" s="49">
        <f t="shared" si="33"/>
        <v>0</v>
      </c>
      <c r="M144" s="49">
        <f t="shared" si="33"/>
        <v>300000</v>
      </c>
      <c r="N144" s="49">
        <f t="shared" si="33"/>
        <v>300000</v>
      </c>
      <c r="O144" s="49">
        <f t="shared" si="33"/>
        <v>21822790</v>
      </c>
      <c r="P144" s="264"/>
      <c r="Q144" s="210"/>
      <c r="R144" s="210"/>
      <c r="S144" s="210"/>
      <c r="T144" s="210"/>
      <c r="U144" s="210"/>
      <c r="V144" s="210"/>
      <c r="W144" s="210"/>
      <c r="X144" s="210"/>
      <c r="Y144" s="210"/>
      <c r="Z144" s="210"/>
      <c r="AA144" s="210"/>
      <c r="AB144" s="210"/>
      <c r="AC144" s="210"/>
      <c r="AD144" s="210"/>
      <c r="AE144" s="210"/>
      <c r="AF144" s="210"/>
      <c r="AG144" s="210"/>
      <c r="AH144" s="210"/>
      <c r="AI144" s="210"/>
    </row>
    <row r="145" spans="1:35" s="8" customFormat="1" ht="36.75" customHeight="1">
      <c r="A145" s="7" t="s">
        <v>175</v>
      </c>
      <c r="B145" s="7" t="s">
        <v>123</v>
      </c>
      <c r="C145" s="14" t="s">
        <v>44</v>
      </c>
      <c r="D145" s="51">
        <f>'дод. 3'!E36+'дод. 3'!E82</f>
        <v>13900990</v>
      </c>
      <c r="E145" s="51">
        <f>'дод. 3'!F36+'дод. 3'!F82</f>
        <v>13900990</v>
      </c>
      <c r="F145" s="51">
        <f>'дод. 3'!G36+'дод. 3'!G82</f>
        <v>9677400</v>
      </c>
      <c r="G145" s="51">
        <f>'дод. 3'!H36+'дод. 3'!H82</f>
        <v>784890</v>
      </c>
      <c r="H145" s="51">
        <f>'дод. 3'!I36+'дод. 3'!I82</f>
        <v>0</v>
      </c>
      <c r="I145" s="51">
        <f>'дод. 3'!J36+'дод. 3'!J82</f>
        <v>300000</v>
      </c>
      <c r="J145" s="51">
        <f>'дод. 3'!K36+'дод. 3'!K82</f>
        <v>0</v>
      </c>
      <c r="K145" s="51">
        <f>'дод. 3'!L36+'дод. 3'!L82</f>
        <v>0</v>
      </c>
      <c r="L145" s="51">
        <f>'дод. 3'!M36+'дод. 3'!M82</f>
        <v>0</v>
      </c>
      <c r="M145" s="51">
        <f>'дод. 3'!N36+'дод. 3'!N82</f>
        <v>300000</v>
      </c>
      <c r="N145" s="51">
        <f>'дод. 3'!O36+'дод. 3'!O82</f>
        <v>300000</v>
      </c>
      <c r="O145" s="51">
        <f>'дод. 3'!P36+'дод. 3'!P82</f>
        <v>14200990</v>
      </c>
      <c r="P145" s="264"/>
      <c r="Q145" s="211"/>
      <c r="R145" s="211"/>
      <c r="S145" s="211"/>
      <c r="T145" s="211"/>
      <c r="U145" s="211"/>
      <c r="V145" s="211"/>
      <c r="W145" s="211"/>
      <c r="X145" s="211"/>
      <c r="Y145" s="211"/>
      <c r="Z145" s="211"/>
      <c r="AA145" s="211"/>
      <c r="AB145" s="211"/>
      <c r="AC145" s="211"/>
      <c r="AD145" s="211"/>
      <c r="AE145" s="211"/>
      <c r="AF145" s="211"/>
      <c r="AG145" s="211"/>
      <c r="AH145" s="211"/>
      <c r="AI145" s="211"/>
    </row>
    <row r="146" spans="1:35" s="8" customFormat="1" ht="31.5" customHeight="1">
      <c r="A146" s="7" t="s">
        <v>176</v>
      </c>
      <c r="B146" s="7" t="s">
        <v>123</v>
      </c>
      <c r="C146" s="14" t="s">
        <v>45</v>
      </c>
      <c r="D146" s="51">
        <f>'дод. 3'!E37</f>
        <v>7621800</v>
      </c>
      <c r="E146" s="51">
        <f>'дод. 3'!F37</f>
        <v>7621800</v>
      </c>
      <c r="F146" s="51">
        <f>'дод. 3'!G37</f>
        <v>0</v>
      </c>
      <c r="G146" s="51">
        <f>'дод. 3'!H37</f>
        <v>0</v>
      </c>
      <c r="H146" s="51">
        <f>'дод. 3'!I37</f>
        <v>0</v>
      </c>
      <c r="I146" s="51">
        <f>'дод. 3'!J37</f>
        <v>0</v>
      </c>
      <c r="J146" s="51">
        <f>'дод. 3'!K37</f>
        <v>0</v>
      </c>
      <c r="K146" s="51">
        <f>'дод. 3'!L37</f>
        <v>0</v>
      </c>
      <c r="L146" s="51">
        <f>'дод. 3'!M37</f>
        <v>0</v>
      </c>
      <c r="M146" s="51">
        <f>'дод. 3'!N37</f>
        <v>0</v>
      </c>
      <c r="N146" s="51">
        <f>'дод. 3'!O37</f>
        <v>0</v>
      </c>
      <c r="O146" s="51">
        <f>'дод. 3'!P37</f>
        <v>7621800</v>
      </c>
      <c r="P146" s="264"/>
      <c r="Q146" s="211"/>
      <c r="R146" s="211"/>
      <c r="S146" s="211"/>
      <c r="T146" s="211"/>
      <c r="U146" s="211"/>
      <c r="V146" s="211"/>
      <c r="W146" s="211"/>
      <c r="X146" s="211"/>
      <c r="Y146" s="211"/>
      <c r="Z146" s="211"/>
      <c r="AA146" s="211"/>
      <c r="AB146" s="211"/>
      <c r="AC146" s="211"/>
      <c r="AD146" s="211"/>
      <c r="AE146" s="211"/>
      <c r="AF146" s="211"/>
      <c r="AG146" s="211"/>
      <c r="AH146" s="211"/>
      <c r="AI146" s="211"/>
    </row>
    <row r="147" spans="1:35" ht="29.25" customHeight="1">
      <c r="A147" s="5" t="s">
        <v>125</v>
      </c>
      <c r="B147" s="5"/>
      <c r="C147" s="13" t="s">
        <v>169</v>
      </c>
      <c r="D147" s="49">
        <f>D148+D149</f>
        <v>8490000</v>
      </c>
      <c r="E147" s="49">
        <f aca="true" t="shared" si="34" ref="E147:O147">E148+E149</f>
        <v>8490000</v>
      </c>
      <c r="F147" s="49">
        <f t="shared" si="34"/>
        <v>1685000</v>
      </c>
      <c r="G147" s="49">
        <f t="shared" si="34"/>
        <v>407210</v>
      </c>
      <c r="H147" s="49">
        <f t="shared" si="34"/>
        <v>0</v>
      </c>
      <c r="I147" s="49">
        <f t="shared" si="34"/>
        <v>246687</v>
      </c>
      <c r="J147" s="49">
        <f t="shared" si="34"/>
        <v>226687</v>
      </c>
      <c r="K147" s="49">
        <f t="shared" si="34"/>
        <v>141022</v>
      </c>
      <c r="L147" s="49">
        <f t="shared" si="34"/>
        <v>53404</v>
      </c>
      <c r="M147" s="49">
        <f t="shared" si="34"/>
        <v>20000</v>
      </c>
      <c r="N147" s="49">
        <f t="shared" si="34"/>
        <v>20000</v>
      </c>
      <c r="O147" s="49">
        <f t="shared" si="34"/>
        <v>8736687</v>
      </c>
      <c r="P147" s="264"/>
      <c r="Q147" s="210"/>
      <c r="R147" s="210"/>
      <c r="S147" s="210"/>
      <c r="T147" s="210"/>
      <c r="U147" s="210"/>
      <c r="V147" s="210"/>
      <c r="W147" s="210"/>
      <c r="X147" s="210"/>
      <c r="Y147" s="210"/>
      <c r="Z147" s="210"/>
      <c r="AA147" s="210"/>
      <c r="AB147" s="210"/>
      <c r="AC147" s="210"/>
      <c r="AD147" s="210"/>
      <c r="AE147" s="210"/>
      <c r="AF147" s="210"/>
      <c r="AG147" s="210"/>
      <c r="AH147" s="210"/>
      <c r="AI147" s="210"/>
    </row>
    <row r="148" spans="1:35" s="8" customFormat="1" ht="75" customHeight="1">
      <c r="A148" s="7" t="s">
        <v>170</v>
      </c>
      <c r="B148" s="7" t="s">
        <v>123</v>
      </c>
      <c r="C148" s="14" t="s">
        <v>171</v>
      </c>
      <c r="D148" s="51">
        <f>'дод. 3'!E39</f>
        <v>3246540</v>
      </c>
      <c r="E148" s="51">
        <f>'дод. 3'!F39</f>
        <v>3246540</v>
      </c>
      <c r="F148" s="51">
        <f>'дод. 3'!G39</f>
        <v>1685000</v>
      </c>
      <c r="G148" s="51">
        <f>'дод. 3'!H39</f>
        <v>407210</v>
      </c>
      <c r="H148" s="51">
        <f>'дод. 3'!I39</f>
        <v>0</v>
      </c>
      <c r="I148" s="51">
        <f>'дод. 3'!J39</f>
        <v>246687</v>
      </c>
      <c r="J148" s="51">
        <f>'дод. 3'!K39</f>
        <v>226687</v>
      </c>
      <c r="K148" s="51">
        <f>'дод. 3'!L39</f>
        <v>141022</v>
      </c>
      <c r="L148" s="51">
        <f>'дод. 3'!M39</f>
        <v>53404</v>
      </c>
      <c r="M148" s="51">
        <f>'дод. 3'!N39</f>
        <v>20000</v>
      </c>
      <c r="N148" s="51">
        <f>'дод. 3'!O39</f>
        <v>20000</v>
      </c>
      <c r="O148" s="51">
        <f>'дод. 3'!P39</f>
        <v>3493227</v>
      </c>
      <c r="P148" s="264"/>
      <c r="Q148" s="211"/>
      <c r="R148" s="211"/>
      <c r="S148" s="211"/>
      <c r="T148" s="211"/>
      <c r="U148" s="211"/>
      <c r="V148" s="211"/>
      <c r="W148" s="211"/>
      <c r="X148" s="211"/>
      <c r="Y148" s="211"/>
      <c r="Z148" s="211"/>
      <c r="AA148" s="211"/>
      <c r="AB148" s="211"/>
      <c r="AC148" s="211"/>
      <c r="AD148" s="211"/>
      <c r="AE148" s="211"/>
      <c r="AF148" s="211"/>
      <c r="AG148" s="211"/>
      <c r="AH148" s="211"/>
      <c r="AI148" s="211"/>
    </row>
    <row r="149" spans="1:35" s="8" customFormat="1" ht="54" customHeight="1">
      <c r="A149" s="7" t="s">
        <v>173</v>
      </c>
      <c r="B149" s="7" t="s">
        <v>123</v>
      </c>
      <c r="C149" s="14" t="s">
        <v>172</v>
      </c>
      <c r="D149" s="51">
        <f>'дод. 3'!E40</f>
        <v>5243460</v>
      </c>
      <c r="E149" s="51">
        <f>'дод. 3'!F40</f>
        <v>5243460</v>
      </c>
      <c r="F149" s="51">
        <f>'дод. 3'!G40</f>
        <v>0</v>
      </c>
      <c r="G149" s="51">
        <f>'дод. 3'!H40</f>
        <v>0</v>
      </c>
      <c r="H149" s="51">
        <f>'дод. 3'!I40</f>
        <v>0</v>
      </c>
      <c r="I149" s="51">
        <f>'дод. 3'!J40</f>
        <v>0</v>
      </c>
      <c r="J149" s="51">
        <f>'дод. 3'!K40</f>
        <v>0</v>
      </c>
      <c r="K149" s="51">
        <f>'дод. 3'!L40</f>
        <v>0</v>
      </c>
      <c r="L149" s="51">
        <f>'дод. 3'!M40</f>
        <v>0</v>
      </c>
      <c r="M149" s="51">
        <f>'дод. 3'!N40</f>
        <v>0</v>
      </c>
      <c r="N149" s="51">
        <f>'дод. 3'!O40</f>
        <v>0</v>
      </c>
      <c r="O149" s="51">
        <f>'дод. 3'!P40</f>
        <v>5243460</v>
      </c>
      <c r="P149" s="264"/>
      <c r="Q149" s="211"/>
      <c r="R149" s="211"/>
      <c r="S149" s="211"/>
      <c r="T149" s="211"/>
      <c r="U149" s="211"/>
      <c r="V149" s="211"/>
      <c r="W149" s="211"/>
      <c r="X149" s="211"/>
      <c r="Y149" s="211"/>
      <c r="Z149" s="211"/>
      <c r="AA149" s="211"/>
      <c r="AB149" s="211"/>
      <c r="AC149" s="211"/>
      <c r="AD149" s="211"/>
      <c r="AE149" s="211"/>
      <c r="AF149" s="211"/>
      <c r="AG149" s="211"/>
      <c r="AH149" s="211"/>
      <c r="AI149" s="211"/>
    </row>
    <row r="150" spans="1:35" s="22" customFormat="1" ht="27" customHeight="1">
      <c r="A150" s="23" t="s">
        <v>106</v>
      </c>
      <c r="B150" s="11"/>
      <c r="C150" s="11" t="s">
        <v>107</v>
      </c>
      <c r="D150" s="50">
        <f>D151+D156+D157+D158+D160</f>
        <v>132231667.7</v>
      </c>
      <c r="E150" s="50">
        <f aca="true" t="shared" si="35" ref="E150:O150">E151+E156+E157+E158+E160</f>
        <v>122391832</v>
      </c>
      <c r="F150" s="50">
        <f t="shared" si="35"/>
        <v>0</v>
      </c>
      <c r="G150" s="50">
        <f t="shared" si="35"/>
        <v>17506320</v>
      </c>
      <c r="H150" s="50">
        <f t="shared" si="35"/>
        <v>9839835.7</v>
      </c>
      <c r="I150" s="50">
        <f t="shared" si="35"/>
        <v>197354847</v>
      </c>
      <c r="J150" s="50">
        <f t="shared" si="35"/>
        <v>39048</v>
      </c>
      <c r="K150" s="50">
        <f t="shared" si="35"/>
        <v>0</v>
      </c>
      <c r="L150" s="50">
        <f t="shared" si="35"/>
        <v>0</v>
      </c>
      <c r="M150" s="50">
        <f t="shared" si="35"/>
        <v>197315799</v>
      </c>
      <c r="N150" s="50">
        <f t="shared" si="35"/>
        <v>197315799</v>
      </c>
      <c r="O150" s="50">
        <f t="shared" si="35"/>
        <v>329586514.7</v>
      </c>
      <c r="P150" s="264"/>
      <c r="Q150" s="214"/>
      <c r="R150" s="214"/>
      <c r="S150" s="214"/>
      <c r="T150" s="214"/>
      <c r="U150" s="214"/>
      <c r="V150" s="214"/>
      <c r="W150" s="214"/>
      <c r="X150" s="214"/>
      <c r="Y150" s="214"/>
      <c r="Z150" s="214"/>
      <c r="AA150" s="214"/>
      <c r="AB150" s="214"/>
      <c r="AC150" s="214"/>
      <c r="AD150" s="214"/>
      <c r="AE150" s="214"/>
      <c r="AF150" s="214"/>
      <c r="AG150" s="214"/>
      <c r="AH150" s="214"/>
      <c r="AI150" s="214"/>
    </row>
    <row r="151" spans="1:35" ht="34.5" customHeight="1">
      <c r="A151" s="5" t="s">
        <v>108</v>
      </c>
      <c r="B151" s="5"/>
      <c r="C151" s="13" t="s">
        <v>204</v>
      </c>
      <c r="D151" s="49">
        <f>D152+D153+D155+D154</f>
        <v>4799000</v>
      </c>
      <c r="E151" s="49">
        <f aca="true" t="shared" si="36" ref="E151:O151">E152+E153+E155+E154</f>
        <v>1703000</v>
      </c>
      <c r="F151" s="49">
        <f t="shared" si="36"/>
        <v>0</v>
      </c>
      <c r="G151" s="49">
        <f t="shared" si="36"/>
        <v>0</v>
      </c>
      <c r="H151" s="49">
        <f t="shared" si="36"/>
        <v>3096000</v>
      </c>
      <c r="I151" s="49">
        <f t="shared" si="36"/>
        <v>60750000</v>
      </c>
      <c r="J151" s="49">
        <f t="shared" si="36"/>
        <v>0</v>
      </c>
      <c r="K151" s="49">
        <f t="shared" si="36"/>
        <v>0</v>
      </c>
      <c r="L151" s="49">
        <f t="shared" si="36"/>
        <v>0</v>
      </c>
      <c r="M151" s="49">
        <f t="shared" si="36"/>
        <v>60750000</v>
      </c>
      <c r="N151" s="49">
        <f t="shared" si="36"/>
        <v>60750000</v>
      </c>
      <c r="O151" s="49">
        <f t="shared" si="36"/>
        <v>65549000</v>
      </c>
      <c r="P151" s="264"/>
      <c r="Q151" s="210"/>
      <c r="R151" s="210"/>
      <c r="S151" s="210"/>
      <c r="T151" s="210"/>
      <c r="U151" s="210"/>
      <c r="V151" s="210"/>
      <c r="W151" s="210"/>
      <c r="X151" s="210"/>
      <c r="Y151" s="210"/>
      <c r="Z151" s="210"/>
      <c r="AA151" s="210"/>
      <c r="AB151" s="210"/>
      <c r="AC151" s="210"/>
      <c r="AD151" s="210"/>
      <c r="AE151" s="210"/>
      <c r="AF151" s="210"/>
      <c r="AG151" s="210"/>
      <c r="AH151" s="210"/>
      <c r="AI151" s="210"/>
    </row>
    <row r="152" spans="1:35" s="8" customFormat="1" ht="33.75" customHeight="1">
      <c r="A152" s="7" t="s">
        <v>205</v>
      </c>
      <c r="B152" s="7" t="s">
        <v>111</v>
      </c>
      <c r="C152" s="14" t="s">
        <v>206</v>
      </c>
      <c r="D152" s="51">
        <f>'дод. 3'!E205</f>
        <v>0</v>
      </c>
      <c r="E152" s="51">
        <f>'дод. 3'!F205</f>
        <v>0</v>
      </c>
      <c r="F152" s="51">
        <f>'дод. 3'!G205</f>
        <v>0</v>
      </c>
      <c r="G152" s="51">
        <f>'дод. 3'!H205</f>
        <v>0</v>
      </c>
      <c r="H152" s="51">
        <f>'дод. 3'!I205</f>
        <v>0</v>
      </c>
      <c r="I152" s="51">
        <f>'дод. 3'!J205</f>
        <v>30750000</v>
      </c>
      <c r="J152" s="51">
        <f>'дод. 3'!K205</f>
        <v>0</v>
      </c>
      <c r="K152" s="51">
        <f>'дод. 3'!L205</f>
        <v>0</v>
      </c>
      <c r="L152" s="51">
        <f>'дод. 3'!M205</f>
        <v>0</v>
      </c>
      <c r="M152" s="51">
        <f>'дод. 3'!N205</f>
        <v>30750000</v>
      </c>
      <c r="N152" s="51">
        <f>'дод. 3'!O205</f>
        <v>30750000</v>
      </c>
      <c r="O152" s="51">
        <f>'дод. 3'!P205</f>
        <v>30750000</v>
      </c>
      <c r="P152" s="264">
        <v>29</v>
      </c>
      <c r="Q152" s="211"/>
      <c r="R152" s="211"/>
      <c r="S152" s="211"/>
      <c r="T152" s="211"/>
      <c r="U152" s="211"/>
      <c r="V152" s="211"/>
      <c r="W152" s="211"/>
      <c r="X152" s="211"/>
      <c r="Y152" s="211"/>
      <c r="Z152" s="211"/>
      <c r="AA152" s="211"/>
      <c r="AB152" s="211"/>
      <c r="AC152" s="211"/>
      <c r="AD152" s="211"/>
      <c r="AE152" s="211"/>
      <c r="AF152" s="211"/>
      <c r="AG152" s="211"/>
      <c r="AH152" s="211"/>
      <c r="AI152" s="211"/>
    </row>
    <row r="153" spans="1:35" s="8" customFormat="1" ht="36.75" customHeight="1">
      <c r="A153" s="7" t="s">
        <v>207</v>
      </c>
      <c r="B153" s="7" t="s">
        <v>111</v>
      </c>
      <c r="C153" s="14" t="s">
        <v>235</v>
      </c>
      <c r="D153" s="51">
        <f>'дод. 3'!E206</f>
        <v>3296000</v>
      </c>
      <c r="E153" s="51">
        <f>'дод. 3'!F206</f>
        <v>200000</v>
      </c>
      <c r="F153" s="51">
        <f>'дод. 3'!G206</f>
        <v>0</v>
      </c>
      <c r="G153" s="51">
        <f>'дод. 3'!H206</f>
        <v>0</v>
      </c>
      <c r="H153" s="51">
        <f>'дод. 3'!I206</f>
        <v>3096000</v>
      </c>
      <c r="I153" s="51">
        <f>'дод. 3'!J206</f>
        <v>0</v>
      </c>
      <c r="J153" s="51">
        <f>'дод. 3'!K206</f>
        <v>0</v>
      </c>
      <c r="K153" s="51">
        <f>'дод. 3'!L206</f>
        <v>0</v>
      </c>
      <c r="L153" s="51">
        <f>'дод. 3'!M206</f>
        <v>0</v>
      </c>
      <c r="M153" s="51">
        <f>'дод. 3'!N206</f>
        <v>0</v>
      </c>
      <c r="N153" s="51">
        <f>'дод. 3'!O206</f>
        <v>0</v>
      </c>
      <c r="O153" s="51">
        <f>'дод. 3'!P206</f>
        <v>3296000</v>
      </c>
      <c r="P153" s="264"/>
      <c r="Q153" s="211"/>
      <c r="R153" s="211"/>
      <c r="S153" s="211"/>
      <c r="T153" s="211"/>
      <c r="U153" s="211"/>
      <c r="V153" s="211"/>
      <c r="W153" s="211"/>
      <c r="X153" s="211"/>
      <c r="Y153" s="211"/>
      <c r="Z153" s="211"/>
      <c r="AA153" s="211"/>
      <c r="AB153" s="211"/>
      <c r="AC153" s="211"/>
      <c r="AD153" s="211"/>
      <c r="AE153" s="211"/>
      <c r="AF153" s="211"/>
      <c r="AG153" s="211"/>
      <c r="AH153" s="211"/>
      <c r="AI153" s="211"/>
    </row>
    <row r="154" spans="1:35" s="8" customFormat="1" ht="36.75" customHeight="1">
      <c r="A154" s="28" t="s">
        <v>406</v>
      </c>
      <c r="B154" s="28" t="s">
        <v>111</v>
      </c>
      <c r="C154" s="14" t="s">
        <v>407</v>
      </c>
      <c r="D154" s="51">
        <f>'дод. 3'!E207</f>
        <v>503000</v>
      </c>
      <c r="E154" s="51">
        <f>'дод. 3'!F207</f>
        <v>503000</v>
      </c>
      <c r="F154" s="51">
        <f>'дод. 3'!G207</f>
        <v>0</v>
      </c>
      <c r="G154" s="51">
        <f>'дод. 3'!H207</f>
        <v>0</v>
      </c>
      <c r="H154" s="51">
        <f>'дод. 3'!I207</f>
        <v>0</v>
      </c>
      <c r="I154" s="51">
        <f>'дод. 3'!J207</f>
        <v>30000000</v>
      </c>
      <c r="J154" s="51">
        <f>'дод. 3'!K207</f>
        <v>0</v>
      </c>
      <c r="K154" s="51">
        <f>'дод. 3'!L207</f>
        <v>0</v>
      </c>
      <c r="L154" s="51">
        <f>'дод. 3'!M207</f>
        <v>0</v>
      </c>
      <c r="M154" s="51">
        <f>'дод. 3'!N207</f>
        <v>30000000</v>
      </c>
      <c r="N154" s="51">
        <f>'дод. 3'!O207</f>
        <v>30000000</v>
      </c>
      <c r="O154" s="51">
        <f>'дод. 3'!P207</f>
        <v>30503000</v>
      </c>
      <c r="P154" s="264"/>
      <c r="Q154" s="211"/>
      <c r="R154" s="211"/>
      <c r="S154" s="211"/>
      <c r="T154" s="211"/>
      <c r="U154" s="211"/>
      <c r="V154" s="211"/>
      <c r="W154" s="211"/>
      <c r="X154" s="211"/>
      <c r="Y154" s="211"/>
      <c r="Z154" s="211"/>
      <c r="AA154" s="211"/>
      <c r="AB154" s="211"/>
      <c r="AC154" s="211"/>
      <c r="AD154" s="211"/>
      <c r="AE154" s="211"/>
      <c r="AF154" s="211"/>
      <c r="AG154" s="211"/>
      <c r="AH154" s="211"/>
      <c r="AI154" s="211"/>
    </row>
    <row r="155" spans="1:35" s="8" customFormat="1" ht="33" customHeight="1">
      <c r="A155" s="7" t="s">
        <v>409</v>
      </c>
      <c r="B155" s="7" t="s">
        <v>111</v>
      </c>
      <c r="C155" s="14" t="s">
        <v>410</v>
      </c>
      <c r="D155" s="51">
        <f>'дод. 3'!E208</f>
        <v>1000000</v>
      </c>
      <c r="E155" s="51">
        <f>'дод. 3'!F208</f>
        <v>1000000</v>
      </c>
      <c r="F155" s="51">
        <f>'дод. 3'!G208</f>
        <v>0</v>
      </c>
      <c r="G155" s="51">
        <f>'дод. 3'!H208</f>
        <v>0</v>
      </c>
      <c r="H155" s="51">
        <f>'дод. 3'!I208</f>
        <v>0</v>
      </c>
      <c r="I155" s="51">
        <f>'дод. 3'!J208</f>
        <v>0</v>
      </c>
      <c r="J155" s="51">
        <f>'дод. 3'!K208</f>
        <v>0</v>
      </c>
      <c r="K155" s="51">
        <f>'дод. 3'!L208</f>
        <v>0</v>
      </c>
      <c r="L155" s="51">
        <f>'дод. 3'!M208</f>
        <v>0</v>
      </c>
      <c r="M155" s="51">
        <f>'дод. 3'!N208</f>
        <v>0</v>
      </c>
      <c r="N155" s="51">
        <f>'дод. 3'!O208</f>
        <v>0</v>
      </c>
      <c r="O155" s="51">
        <f>'дод. 3'!P208</f>
        <v>1000000</v>
      </c>
      <c r="P155" s="264"/>
      <c r="Q155" s="211"/>
      <c r="R155" s="211"/>
      <c r="S155" s="211"/>
      <c r="T155" s="211"/>
      <c r="U155" s="211"/>
      <c r="V155" s="211"/>
      <c r="W155" s="211"/>
      <c r="X155" s="211"/>
      <c r="Y155" s="211"/>
      <c r="Z155" s="211"/>
      <c r="AA155" s="211"/>
      <c r="AB155" s="211"/>
      <c r="AC155" s="211"/>
      <c r="AD155" s="211"/>
      <c r="AE155" s="211"/>
      <c r="AF155" s="211"/>
      <c r="AG155" s="211"/>
      <c r="AH155" s="211"/>
      <c r="AI155" s="211"/>
    </row>
    <row r="156" spans="1:35" s="8" customFormat="1" ht="52.5" customHeight="1">
      <c r="A156" s="5" t="s">
        <v>110</v>
      </c>
      <c r="B156" s="5" t="s">
        <v>111</v>
      </c>
      <c r="C156" s="13" t="s">
        <v>210</v>
      </c>
      <c r="D156" s="49">
        <f>'дод. 3'!E209</f>
        <v>6402960.7</v>
      </c>
      <c r="E156" s="49">
        <f>'дод. 3'!F209</f>
        <v>0</v>
      </c>
      <c r="F156" s="49">
        <f>'дод. 3'!G209</f>
        <v>0</v>
      </c>
      <c r="G156" s="49">
        <f>'дод. 3'!H209</f>
        <v>0</v>
      </c>
      <c r="H156" s="49">
        <f>'дод. 3'!I209</f>
        <v>6402960.7</v>
      </c>
      <c r="I156" s="49">
        <f>'дод. 3'!J209</f>
        <v>0</v>
      </c>
      <c r="J156" s="49">
        <f>'дод. 3'!K209</f>
        <v>0</v>
      </c>
      <c r="K156" s="49">
        <f>'дод. 3'!L209</f>
        <v>0</v>
      </c>
      <c r="L156" s="49">
        <f>'дод. 3'!M209</f>
        <v>0</v>
      </c>
      <c r="M156" s="49">
        <f>'дод. 3'!N209</f>
        <v>0</v>
      </c>
      <c r="N156" s="49">
        <f>'дод. 3'!O209</f>
        <v>0</v>
      </c>
      <c r="O156" s="49">
        <f>'дод. 3'!P209</f>
        <v>6402960.7</v>
      </c>
      <c r="P156" s="264"/>
      <c r="Q156" s="210"/>
      <c r="R156" s="210"/>
      <c r="S156" s="210"/>
      <c r="T156" s="210"/>
      <c r="U156" s="210"/>
      <c r="V156" s="210"/>
      <c r="W156" s="210"/>
      <c r="X156" s="210"/>
      <c r="Y156" s="210"/>
      <c r="Z156" s="210"/>
      <c r="AA156" s="210"/>
      <c r="AB156" s="210"/>
      <c r="AC156" s="210"/>
      <c r="AD156" s="210"/>
      <c r="AE156" s="210"/>
      <c r="AF156" s="210"/>
      <c r="AG156" s="210"/>
      <c r="AH156" s="210"/>
      <c r="AI156" s="210"/>
    </row>
    <row r="157" spans="1:35" ht="30" customHeight="1">
      <c r="A157" s="5" t="s">
        <v>208</v>
      </c>
      <c r="B157" s="5" t="s">
        <v>111</v>
      </c>
      <c r="C157" s="13" t="s">
        <v>209</v>
      </c>
      <c r="D157" s="49">
        <f>'дод. 3'!E228+'дод. 3'!E210</f>
        <v>117742631</v>
      </c>
      <c r="E157" s="49">
        <f>'дод. 3'!F228+'дод. 3'!F210</f>
        <v>117562631</v>
      </c>
      <c r="F157" s="49">
        <f>'дод. 3'!G228+'дод. 3'!G210</f>
        <v>0</v>
      </c>
      <c r="G157" s="49">
        <f>'дод. 3'!H228+'дод. 3'!H210</f>
        <v>17466320</v>
      </c>
      <c r="H157" s="49">
        <f>'дод. 3'!I228+'дод. 3'!I210</f>
        <v>180000</v>
      </c>
      <c r="I157" s="49">
        <f>'дод. 3'!J228+'дод. 3'!J210</f>
        <v>136565799</v>
      </c>
      <c r="J157" s="49">
        <f>'дод. 3'!K228+'дод. 3'!K210</f>
        <v>0</v>
      </c>
      <c r="K157" s="49">
        <f>'дод. 3'!L228+'дод. 3'!L210</f>
        <v>0</v>
      </c>
      <c r="L157" s="49">
        <f>'дод. 3'!M228+'дод. 3'!M210</f>
        <v>0</v>
      </c>
      <c r="M157" s="49">
        <f>'дод. 3'!N228+'дод. 3'!N210</f>
        <v>136565799</v>
      </c>
      <c r="N157" s="49">
        <f>'дод. 3'!O228+'дод. 3'!O210</f>
        <v>136565799</v>
      </c>
      <c r="O157" s="49">
        <f>'дод. 3'!P228+'дод. 3'!P210</f>
        <v>254308430</v>
      </c>
      <c r="P157" s="264"/>
      <c r="Q157" s="210"/>
      <c r="R157" s="210"/>
      <c r="S157" s="210"/>
      <c r="T157" s="210"/>
      <c r="U157" s="210"/>
      <c r="V157" s="210"/>
      <c r="W157" s="210"/>
      <c r="X157" s="210"/>
      <c r="Y157" s="210"/>
      <c r="Z157" s="210"/>
      <c r="AA157" s="210"/>
      <c r="AB157" s="210"/>
      <c r="AC157" s="210"/>
      <c r="AD157" s="210"/>
      <c r="AE157" s="210"/>
      <c r="AF157" s="210"/>
      <c r="AG157" s="210"/>
      <c r="AH157" s="210"/>
      <c r="AI157" s="210"/>
    </row>
    <row r="158" spans="1:35" ht="24" customHeight="1">
      <c r="A158" s="5" t="s">
        <v>226</v>
      </c>
      <c r="B158" s="5"/>
      <c r="C158" s="13" t="s">
        <v>227</v>
      </c>
      <c r="D158" s="49">
        <f aca="true" t="shared" si="37" ref="D158:O158">D159</f>
        <v>84906</v>
      </c>
      <c r="E158" s="49">
        <f t="shared" si="37"/>
        <v>84906</v>
      </c>
      <c r="F158" s="49">
        <f t="shared" si="37"/>
        <v>0</v>
      </c>
      <c r="G158" s="49">
        <f t="shared" si="37"/>
        <v>0</v>
      </c>
      <c r="H158" s="49">
        <f t="shared" si="37"/>
        <v>0</v>
      </c>
      <c r="I158" s="49">
        <f t="shared" si="37"/>
        <v>39048</v>
      </c>
      <c r="J158" s="49">
        <f t="shared" si="37"/>
        <v>39048</v>
      </c>
      <c r="K158" s="49">
        <f t="shared" si="37"/>
        <v>0</v>
      </c>
      <c r="L158" s="49">
        <f t="shared" si="37"/>
        <v>0</v>
      </c>
      <c r="M158" s="49">
        <f t="shared" si="37"/>
        <v>0</v>
      </c>
      <c r="N158" s="49">
        <f t="shared" si="37"/>
        <v>0</v>
      </c>
      <c r="O158" s="49">
        <f t="shared" si="37"/>
        <v>123954</v>
      </c>
      <c r="P158" s="264"/>
      <c r="Q158" s="210"/>
      <c r="R158" s="210"/>
      <c r="S158" s="210"/>
      <c r="T158" s="210"/>
      <c r="U158" s="210"/>
      <c r="V158" s="210"/>
      <c r="W158" s="210"/>
      <c r="X158" s="210"/>
      <c r="Y158" s="210"/>
      <c r="Z158" s="210"/>
      <c r="AA158" s="210"/>
      <c r="AB158" s="210"/>
      <c r="AC158" s="210"/>
      <c r="AD158" s="210"/>
      <c r="AE158" s="210"/>
      <c r="AF158" s="210"/>
      <c r="AG158" s="210"/>
      <c r="AH158" s="210"/>
      <c r="AI158" s="210"/>
    </row>
    <row r="159" spans="1:35" s="8" customFormat="1" ht="67.5" customHeight="1">
      <c r="A159" s="7" t="s">
        <v>212</v>
      </c>
      <c r="B159" s="9" t="s">
        <v>109</v>
      </c>
      <c r="C159" s="14" t="s">
        <v>213</v>
      </c>
      <c r="D159" s="51">
        <f>'дод. 3'!E230</f>
        <v>84906</v>
      </c>
      <c r="E159" s="51">
        <f>'дод. 3'!F230</f>
        <v>84906</v>
      </c>
      <c r="F159" s="51">
        <f>'дод. 3'!G230</f>
        <v>0</v>
      </c>
      <c r="G159" s="51">
        <f>'дод. 3'!H230</f>
        <v>0</v>
      </c>
      <c r="H159" s="51">
        <f>'дод. 3'!I230</f>
        <v>0</v>
      </c>
      <c r="I159" s="51">
        <f>'дод. 3'!J230</f>
        <v>39048</v>
      </c>
      <c r="J159" s="51">
        <f>'дод. 3'!K230</f>
        <v>39048</v>
      </c>
      <c r="K159" s="51">
        <f>'дод. 3'!L230</f>
        <v>0</v>
      </c>
      <c r="L159" s="51">
        <f>'дод. 3'!M230</f>
        <v>0</v>
      </c>
      <c r="M159" s="51">
        <f>'дод. 3'!N230</f>
        <v>0</v>
      </c>
      <c r="N159" s="51">
        <f>'дод. 3'!O230</f>
        <v>0</v>
      </c>
      <c r="O159" s="51">
        <f>'дод. 3'!P230</f>
        <v>123954</v>
      </c>
      <c r="P159" s="264"/>
      <c r="Q159" s="211"/>
      <c r="R159" s="211"/>
      <c r="S159" s="211"/>
      <c r="T159" s="211"/>
      <c r="U159" s="211"/>
      <c r="V159" s="211"/>
      <c r="W159" s="211"/>
      <c r="X159" s="211"/>
      <c r="Y159" s="211"/>
      <c r="Z159" s="211"/>
      <c r="AA159" s="211"/>
      <c r="AB159" s="211"/>
      <c r="AC159" s="211"/>
      <c r="AD159" s="211"/>
      <c r="AE159" s="211"/>
      <c r="AF159" s="211"/>
      <c r="AG159" s="211"/>
      <c r="AH159" s="211"/>
      <c r="AI159" s="211"/>
    </row>
    <row r="160" spans="1:35" ht="39.75" customHeight="1">
      <c r="A160" s="5" t="s">
        <v>228</v>
      </c>
      <c r="B160" s="12" t="s">
        <v>492</v>
      </c>
      <c r="C160" s="13" t="s">
        <v>229</v>
      </c>
      <c r="D160" s="49">
        <f>'дод. 3'!E211+'дод. 3'!E224+'дод. 3'!E244</f>
        <v>3202170</v>
      </c>
      <c r="E160" s="49">
        <f>'дод. 3'!F211+'дод. 3'!F224+'дод. 3'!F244</f>
        <v>3041295</v>
      </c>
      <c r="F160" s="49">
        <f>'дод. 3'!G211+'дод. 3'!G224+'дод. 3'!G244</f>
        <v>0</v>
      </c>
      <c r="G160" s="49">
        <f>'дод. 3'!H211+'дод. 3'!H224+'дод. 3'!H244</f>
        <v>40000</v>
      </c>
      <c r="H160" s="49">
        <f>'дод. 3'!I211+'дод. 3'!I224+'дод. 3'!I244</f>
        <v>160875</v>
      </c>
      <c r="I160" s="49">
        <f>'дод. 3'!J211+'дод. 3'!J224+'дод. 3'!J244</f>
        <v>0</v>
      </c>
      <c r="J160" s="49">
        <f>'дод. 3'!K211+'дод. 3'!K224+'дод. 3'!K244</f>
        <v>0</v>
      </c>
      <c r="K160" s="49">
        <f>'дод. 3'!L211+'дод. 3'!L224+'дод. 3'!L244</f>
        <v>0</v>
      </c>
      <c r="L160" s="49">
        <f>'дод. 3'!M211+'дод. 3'!M224+'дод. 3'!M244</f>
        <v>0</v>
      </c>
      <c r="M160" s="49">
        <f>'дод. 3'!N211+'дод. 3'!N224+'дод. 3'!N244</f>
        <v>0</v>
      </c>
      <c r="N160" s="49">
        <f>'дод. 3'!O211+'дод. 3'!O224+'дод. 3'!O244</f>
        <v>0</v>
      </c>
      <c r="O160" s="49">
        <f>'дод. 3'!P211+'дод. 3'!P224+'дод. 3'!P244</f>
        <v>3202170</v>
      </c>
      <c r="P160" s="264"/>
      <c r="Q160" s="210"/>
      <c r="R160" s="210"/>
      <c r="S160" s="210"/>
      <c r="T160" s="210"/>
      <c r="U160" s="210"/>
      <c r="V160" s="210"/>
      <c r="W160" s="210"/>
      <c r="X160" s="210"/>
      <c r="Y160" s="210"/>
      <c r="Z160" s="210"/>
      <c r="AA160" s="210"/>
      <c r="AB160" s="210"/>
      <c r="AC160" s="210"/>
      <c r="AD160" s="210"/>
      <c r="AE160" s="210"/>
      <c r="AF160" s="210"/>
      <c r="AG160" s="210"/>
      <c r="AH160" s="210"/>
      <c r="AI160" s="210"/>
    </row>
    <row r="161" spans="1:35" s="22" customFormat="1" ht="29.25" customHeight="1">
      <c r="A161" s="23" t="s">
        <v>214</v>
      </c>
      <c r="B161" s="11"/>
      <c r="C161" s="11" t="s">
        <v>215</v>
      </c>
      <c r="D161" s="50">
        <f aca="true" t="shared" si="38" ref="D161:O161">D162+D164+D172+D179+D181</f>
        <v>36695193</v>
      </c>
      <c r="E161" s="50">
        <f t="shared" si="38"/>
        <v>14050557</v>
      </c>
      <c r="F161" s="50">
        <f t="shared" si="38"/>
        <v>0</v>
      </c>
      <c r="G161" s="50">
        <f t="shared" si="38"/>
        <v>0</v>
      </c>
      <c r="H161" s="50">
        <f t="shared" si="38"/>
        <v>22644636</v>
      </c>
      <c r="I161" s="50">
        <f t="shared" si="38"/>
        <v>165468887</v>
      </c>
      <c r="J161" s="50">
        <f t="shared" si="38"/>
        <v>484946</v>
      </c>
      <c r="K161" s="50">
        <f t="shared" si="38"/>
        <v>0</v>
      </c>
      <c r="L161" s="50">
        <f t="shared" si="38"/>
        <v>0</v>
      </c>
      <c r="M161" s="50">
        <f t="shared" si="38"/>
        <v>164983941</v>
      </c>
      <c r="N161" s="50">
        <f t="shared" si="38"/>
        <v>164183941</v>
      </c>
      <c r="O161" s="50">
        <f t="shared" si="38"/>
        <v>202164080</v>
      </c>
      <c r="P161" s="264"/>
      <c r="Q161" s="214"/>
      <c r="R161" s="214"/>
      <c r="S161" s="214"/>
      <c r="T161" s="214"/>
      <c r="U161" s="214"/>
      <c r="V161" s="214"/>
      <c r="W161" s="214"/>
      <c r="X161" s="214"/>
      <c r="Y161" s="214"/>
      <c r="Z161" s="214"/>
      <c r="AA161" s="214"/>
      <c r="AB161" s="214"/>
      <c r="AC161" s="214"/>
      <c r="AD161" s="214"/>
      <c r="AE161" s="214"/>
      <c r="AF161" s="214"/>
      <c r="AG161" s="214"/>
      <c r="AH161" s="214"/>
      <c r="AI161" s="214"/>
    </row>
    <row r="162" spans="1:35" s="22" customFormat="1" ht="31.5">
      <c r="A162" s="23" t="s">
        <v>230</v>
      </c>
      <c r="B162" s="11"/>
      <c r="C162" s="11" t="s">
        <v>231</v>
      </c>
      <c r="D162" s="50">
        <f aca="true" t="shared" si="39" ref="D162:O162">D163</f>
        <v>550000</v>
      </c>
      <c r="E162" s="50">
        <f t="shared" si="39"/>
        <v>550000</v>
      </c>
      <c r="F162" s="50">
        <f t="shared" si="39"/>
        <v>0</v>
      </c>
      <c r="G162" s="50">
        <f t="shared" si="39"/>
        <v>0</v>
      </c>
      <c r="H162" s="50">
        <f t="shared" si="39"/>
        <v>0</v>
      </c>
      <c r="I162" s="50">
        <f t="shared" si="39"/>
        <v>0</v>
      </c>
      <c r="J162" s="50">
        <f t="shared" si="39"/>
        <v>0</v>
      </c>
      <c r="K162" s="50">
        <f t="shared" si="39"/>
        <v>0</v>
      </c>
      <c r="L162" s="50">
        <f t="shared" si="39"/>
        <v>0</v>
      </c>
      <c r="M162" s="50">
        <f t="shared" si="39"/>
        <v>0</v>
      </c>
      <c r="N162" s="50">
        <f t="shared" si="39"/>
        <v>0</v>
      </c>
      <c r="O162" s="50">
        <f t="shared" si="39"/>
        <v>550000</v>
      </c>
      <c r="P162" s="264"/>
      <c r="Q162" s="214"/>
      <c r="R162" s="214"/>
      <c r="S162" s="214"/>
      <c r="T162" s="214"/>
      <c r="U162" s="214"/>
      <c r="V162" s="214"/>
      <c r="W162" s="214"/>
      <c r="X162" s="214"/>
      <c r="Y162" s="214"/>
      <c r="Z162" s="214"/>
      <c r="AA162" s="214"/>
      <c r="AB162" s="214"/>
      <c r="AC162" s="214"/>
      <c r="AD162" s="214"/>
      <c r="AE162" s="214"/>
      <c r="AF162" s="214"/>
      <c r="AG162" s="214"/>
      <c r="AH162" s="214"/>
      <c r="AI162" s="214"/>
    </row>
    <row r="163" spans="1:35" ht="24" customHeight="1">
      <c r="A163" s="5" t="s">
        <v>216</v>
      </c>
      <c r="B163" s="5" t="s">
        <v>127</v>
      </c>
      <c r="C163" s="13" t="s">
        <v>217</v>
      </c>
      <c r="D163" s="49">
        <f>'дод. 3'!E253</f>
        <v>550000</v>
      </c>
      <c r="E163" s="49">
        <f>'дод. 3'!F253</f>
        <v>550000</v>
      </c>
      <c r="F163" s="49">
        <f>'дод. 3'!G253</f>
        <v>0</v>
      </c>
      <c r="G163" s="49">
        <f>'дод. 3'!H253</f>
        <v>0</v>
      </c>
      <c r="H163" s="49">
        <f>'дод. 3'!I253</f>
        <v>0</v>
      </c>
      <c r="I163" s="49">
        <f>'дод. 3'!J253</f>
        <v>0</v>
      </c>
      <c r="J163" s="49">
        <f>'дод. 3'!K253</f>
        <v>0</v>
      </c>
      <c r="K163" s="49">
        <f>'дод. 3'!L253</f>
        <v>0</v>
      </c>
      <c r="L163" s="49">
        <f>'дод. 3'!M253</f>
        <v>0</v>
      </c>
      <c r="M163" s="49">
        <f>'дод. 3'!N253</f>
        <v>0</v>
      </c>
      <c r="N163" s="49">
        <f>'дод. 3'!O253</f>
        <v>0</v>
      </c>
      <c r="O163" s="49">
        <f>'дод. 3'!P253</f>
        <v>550000</v>
      </c>
      <c r="P163" s="264"/>
      <c r="Q163" s="210"/>
      <c r="R163" s="210"/>
      <c r="S163" s="210"/>
      <c r="T163" s="210"/>
      <c r="U163" s="210"/>
      <c r="V163" s="210"/>
      <c r="W163" s="210"/>
      <c r="X163" s="210"/>
      <c r="Y163" s="210"/>
      <c r="Z163" s="210"/>
      <c r="AA163" s="210"/>
      <c r="AB163" s="210"/>
      <c r="AC163" s="210"/>
      <c r="AD163" s="210"/>
      <c r="AE163" s="210"/>
      <c r="AF163" s="210"/>
      <c r="AG163" s="210"/>
      <c r="AH163" s="210"/>
      <c r="AI163" s="210"/>
    </row>
    <row r="164" spans="1:35" s="22" customFormat="1" ht="27.75" customHeight="1">
      <c r="A164" s="23" t="s">
        <v>144</v>
      </c>
      <c r="B164" s="23"/>
      <c r="C164" s="82" t="s">
        <v>218</v>
      </c>
      <c r="D164" s="50">
        <f>D165+D166+D170+D171</f>
        <v>0</v>
      </c>
      <c r="E164" s="50">
        <f aca="true" t="shared" si="40" ref="E164:O164">E165+E166+E170+E171</f>
        <v>0</v>
      </c>
      <c r="F164" s="50">
        <f t="shared" si="40"/>
        <v>0</v>
      </c>
      <c r="G164" s="50">
        <f t="shared" si="40"/>
        <v>0</v>
      </c>
      <c r="H164" s="50">
        <f t="shared" si="40"/>
        <v>0</v>
      </c>
      <c r="I164" s="50">
        <f t="shared" si="40"/>
        <v>84466941</v>
      </c>
      <c r="J164" s="50">
        <f t="shared" si="40"/>
        <v>0</v>
      </c>
      <c r="K164" s="50">
        <f t="shared" si="40"/>
        <v>0</v>
      </c>
      <c r="L164" s="50">
        <f t="shared" si="40"/>
        <v>0</v>
      </c>
      <c r="M164" s="50">
        <f t="shared" si="40"/>
        <v>84466941</v>
      </c>
      <c r="N164" s="50">
        <f t="shared" si="40"/>
        <v>84466941</v>
      </c>
      <c r="O164" s="50">
        <f t="shared" si="40"/>
        <v>84466941</v>
      </c>
      <c r="P164" s="264"/>
      <c r="Q164" s="214"/>
      <c r="R164" s="214"/>
      <c r="S164" s="214"/>
      <c r="T164" s="214"/>
      <c r="U164" s="214"/>
      <c r="V164" s="214"/>
      <c r="W164" s="214"/>
      <c r="X164" s="214"/>
      <c r="Y164" s="214"/>
      <c r="Z164" s="214"/>
      <c r="AA164" s="214"/>
      <c r="AB164" s="214"/>
      <c r="AC164" s="214"/>
      <c r="AD164" s="214"/>
      <c r="AE164" s="214"/>
      <c r="AF164" s="214"/>
      <c r="AG164" s="214"/>
      <c r="AH164" s="214"/>
      <c r="AI164" s="214"/>
    </row>
    <row r="165" spans="1:35" ht="32.25" customHeight="1">
      <c r="A165" s="27" t="s">
        <v>425</v>
      </c>
      <c r="B165" s="27" t="s">
        <v>166</v>
      </c>
      <c r="C165" s="13" t="s">
        <v>438</v>
      </c>
      <c r="D165" s="49">
        <f>'дод. 3'!E212+'дод. 3'!E231</f>
        <v>0</v>
      </c>
      <c r="E165" s="49">
        <f>'дод. 3'!F212+'дод. 3'!F231</f>
        <v>0</v>
      </c>
      <c r="F165" s="49">
        <f>'дод. 3'!G212+'дод. 3'!G231</f>
        <v>0</v>
      </c>
      <c r="G165" s="49">
        <f>'дод. 3'!H212+'дод. 3'!H231</f>
        <v>0</v>
      </c>
      <c r="H165" s="49">
        <f>'дод. 3'!I212+'дод. 3'!I231</f>
        <v>0</v>
      </c>
      <c r="I165" s="49">
        <f>'дод. 3'!J212+'дод. 3'!J231</f>
        <v>14400000</v>
      </c>
      <c r="J165" s="49">
        <f>'дод. 3'!K212+'дод. 3'!K231</f>
        <v>0</v>
      </c>
      <c r="K165" s="49">
        <f>'дод. 3'!L212+'дод. 3'!L231</f>
        <v>0</v>
      </c>
      <c r="L165" s="49">
        <f>'дод. 3'!M212+'дод. 3'!M231</f>
        <v>0</v>
      </c>
      <c r="M165" s="49">
        <f>'дод. 3'!N212+'дод. 3'!N231</f>
        <v>14400000</v>
      </c>
      <c r="N165" s="49">
        <f>'дод. 3'!O212+'дод. 3'!O231</f>
        <v>14400000</v>
      </c>
      <c r="O165" s="49">
        <f>'дод. 3'!P212+'дод. 3'!P231</f>
        <v>14400000</v>
      </c>
      <c r="P165" s="264"/>
      <c r="Q165" s="210"/>
      <c r="R165" s="210"/>
      <c r="S165" s="210"/>
      <c r="T165" s="210"/>
      <c r="U165" s="210"/>
      <c r="V165" s="210"/>
      <c r="W165" s="210"/>
      <c r="X165" s="210"/>
      <c r="Y165" s="210"/>
      <c r="Z165" s="210"/>
      <c r="AA165" s="210"/>
      <c r="AB165" s="210"/>
      <c r="AC165" s="210"/>
      <c r="AD165" s="210"/>
      <c r="AE165" s="210"/>
      <c r="AF165" s="210"/>
      <c r="AG165" s="210"/>
      <c r="AH165" s="210"/>
      <c r="AI165" s="210"/>
    </row>
    <row r="166" spans="1:35" ht="32.25" customHeight="1">
      <c r="A166" s="27" t="s">
        <v>430</v>
      </c>
      <c r="B166" s="27"/>
      <c r="C166" s="13" t="s">
        <v>440</v>
      </c>
      <c r="D166" s="49">
        <f>D167+D168+D169</f>
        <v>0</v>
      </c>
      <c r="E166" s="49">
        <f aca="true" t="shared" si="41" ref="E166:O166">E167+E168+E169</f>
        <v>0</v>
      </c>
      <c r="F166" s="49">
        <f t="shared" si="41"/>
        <v>0</v>
      </c>
      <c r="G166" s="49">
        <f t="shared" si="41"/>
        <v>0</v>
      </c>
      <c r="H166" s="49">
        <f t="shared" si="41"/>
        <v>0</v>
      </c>
      <c r="I166" s="49">
        <f t="shared" si="41"/>
        <v>24962500</v>
      </c>
      <c r="J166" s="49">
        <f t="shared" si="41"/>
        <v>0</v>
      </c>
      <c r="K166" s="49">
        <f t="shared" si="41"/>
        <v>0</v>
      </c>
      <c r="L166" s="49">
        <f t="shared" si="41"/>
        <v>0</v>
      </c>
      <c r="M166" s="49">
        <f t="shared" si="41"/>
        <v>24962500</v>
      </c>
      <c r="N166" s="49">
        <f t="shared" si="41"/>
        <v>24962500</v>
      </c>
      <c r="O166" s="49">
        <f t="shared" si="41"/>
        <v>24962500</v>
      </c>
      <c r="P166" s="264"/>
      <c r="Q166" s="210"/>
      <c r="R166" s="210"/>
      <c r="S166" s="210"/>
      <c r="T166" s="210"/>
      <c r="U166" s="210"/>
      <c r="V166" s="210"/>
      <c r="W166" s="210"/>
      <c r="X166" s="210"/>
      <c r="Y166" s="210"/>
      <c r="Z166" s="210"/>
      <c r="AA166" s="210"/>
      <c r="AB166" s="210"/>
      <c r="AC166" s="210"/>
      <c r="AD166" s="210"/>
      <c r="AE166" s="210"/>
      <c r="AF166" s="210"/>
      <c r="AG166" s="210"/>
      <c r="AH166" s="210"/>
      <c r="AI166" s="210"/>
    </row>
    <row r="167" spans="1:35" s="8" customFormat="1" ht="32.25" customHeight="1">
      <c r="A167" s="28" t="s">
        <v>432</v>
      </c>
      <c r="B167" s="28" t="s">
        <v>166</v>
      </c>
      <c r="C167" s="14" t="s">
        <v>441</v>
      </c>
      <c r="D167" s="51">
        <f>'дод. 3'!E233</f>
        <v>0</v>
      </c>
      <c r="E167" s="51">
        <f>'дод. 3'!F233</f>
        <v>0</v>
      </c>
      <c r="F167" s="51">
        <f>'дод. 3'!G233</f>
        <v>0</v>
      </c>
      <c r="G167" s="51">
        <f>'дод. 3'!H233</f>
        <v>0</v>
      </c>
      <c r="H167" s="51">
        <f>'дод. 3'!I233</f>
        <v>0</v>
      </c>
      <c r="I167" s="51">
        <f>'дод. 3'!J233</f>
        <v>10962500</v>
      </c>
      <c r="J167" s="51">
        <f>'дод. 3'!K233</f>
        <v>0</v>
      </c>
      <c r="K167" s="51">
        <f>'дод. 3'!L233</f>
        <v>0</v>
      </c>
      <c r="L167" s="51">
        <f>'дод. 3'!M233</f>
        <v>0</v>
      </c>
      <c r="M167" s="51">
        <f>'дод. 3'!N233</f>
        <v>10962500</v>
      </c>
      <c r="N167" s="51">
        <f>'дод. 3'!O233</f>
        <v>10962500</v>
      </c>
      <c r="O167" s="51">
        <f>'дод. 3'!P233</f>
        <v>10962500</v>
      </c>
      <c r="P167" s="264"/>
      <c r="Q167" s="211"/>
      <c r="R167" s="211"/>
      <c r="S167" s="211"/>
      <c r="T167" s="211"/>
      <c r="U167" s="211"/>
      <c r="V167" s="211"/>
      <c r="W167" s="211"/>
      <c r="X167" s="211"/>
      <c r="Y167" s="211"/>
      <c r="Z167" s="211"/>
      <c r="AA167" s="211"/>
      <c r="AB167" s="211"/>
      <c r="AC167" s="211"/>
      <c r="AD167" s="211"/>
      <c r="AE167" s="211"/>
      <c r="AF167" s="211"/>
      <c r="AG167" s="211"/>
      <c r="AH167" s="211"/>
      <c r="AI167" s="211"/>
    </row>
    <row r="168" spans="1:35" s="8" customFormat="1" ht="32.25" customHeight="1">
      <c r="A168" s="28" t="s">
        <v>434</v>
      </c>
      <c r="B168" s="28" t="s">
        <v>166</v>
      </c>
      <c r="C168" s="14" t="s">
        <v>443</v>
      </c>
      <c r="D168" s="51">
        <f>'дод. 3'!E234</f>
        <v>0</v>
      </c>
      <c r="E168" s="51">
        <f>'дод. 3'!F234</f>
        <v>0</v>
      </c>
      <c r="F168" s="51">
        <f>'дод. 3'!G234</f>
        <v>0</v>
      </c>
      <c r="G168" s="51">
        <f>'дод. 3'!H234</f>
        <v>0</v>
      </c>
      <c r="H168" s="51">
        <f>'дод. 3'!I234</f>
        <v>0</v>
      </c>
      <c r="I168" s="51">
        <f>'дод. 3'!J234</f>
        <v>5500000</v>
      </c>
      <c r="J168" s="51">
        <f>'дод. 3'!K234</f>
        <v>0</v>
      </c>
      <c r="K168" s="51">
        <f>'дод. 3'!L234</f>
        <v>0</v>
      </c>
      <c r="L168" s="51">
        <f>'дод. 3'!M234</f>
        <v>0</v>
      </c>
      <c r="M168" s="51">
        <f>'дод. 3'!N234</f>
        <v>5500000</v>
      </c>
      <c r="N168" s="51">
        <f>'дод. 3'!O234</f>
        <v>5500000</v>
      </c>
      <c r="O168" s="51">
        <f>'дод. 3'!P234</f>
        <v>5500000</v>
      </c>
      <c r="P168" s="264"/>
      <c r="Q168" s="211"/>
      <c r="R168" s="211"/>
      <c r="S168" s="211"/>
      <c r="T168" s="211"/>
      <c r="U168" s="211"/>
      <c r="V168" s="211"/>
      <c r="W168" s="211"/>
      <c r="X168" s="211"/>
      <c r="Y168" s="211"/>
      <c r="Z168" s="211"/>
      <c r="AA168" s="211"/>
      <c r="AB168" s="211"/>
      <c r="AC168" s="211"/>
      <c r="AD168" s="211"/>
      <c r="AE168" s="211"/>
      <c r="AF168" s="211"/>
      <c r="AG168" s="211"/>
      <c r="AH168" s="211"/>
      <c r="AI168" s="211"/>
    </row>
    <row r="169" spans="1:35" s="8" customFormat="1" ht="32.25" customHeight="1">
      <c r="A169" s="28" t="s">
        <v>436</v>
      </c>
      <c r="B169" s="28" t="s">
        <v>166</v>
      </c>
      <c r="C169" s="14" t="s">
        <v>442</v>
      </c>
      <c r="D169" s="51">
        <f>'дод. 3'!E235</f>
        <v>0</v>
      </c>
      <c r="E169" s="51">
        <f>'дод. 3'!F235</f>
        <v>0</v>
      </c>
      <c r="F169" s="51">
        <f>'дод. 3'!G235</f>
        <v>0</v>
      </c>
      <c r="G169" s="51">
        <f>'дод. 3'!H235</f>
        <v>0</v>
      </c>
      <c r="H169" s="51">
        <f>'дод. 3'!I235</f>
        <v>0</v>
      </c>
      <c r="I169" s="51">
        <f>'дод. 3'!J235</f>
        <v>8500000</v>
      </c>
      <c r="J169" s="51">
        <f>'дод. 3'!K235</f>
        <v>0</v>
      </c>
      <c r="K169" s="51">
        <f>'дод. 3'!L235</f>
        <v>0</v>
      </c>
      <c r="L169" s="51">
        <f>'дод. 3'!M235</f>
        <v>0</v>
      </c>
      <c r="M169" s="51">
        <f>'дод. 3'!N235</f>
        <v>8500000</v>
      </c>
      <c r="N169" s="51">
        <f>'дод. 3'!O235</f>
        <v>8500000</v>
      </c>
      <c r="O169" s="51">
        <f>'дод. 3'!P235</f>
        <v>8500000</v>
      </c>
      <c r="P169" s="264"/>
      <c r="Q169" s="211"/>
      <c r="R169" s="211"/>
      <c r="S169" s="211"/>
      <c r="T169" s="211"/>
      <c r="U169" s="211"/>
      <c r="V169" s="211"/>
      <c r="W169" s="211"/>
      <c r="X169" s="211"/>
      <c r="Y169" s="211"/>
      <c r="Z169" s="211"/>
      <c r="AA169" s="211"/>
      <c r="AB169" s="211"/>
      <c r="AC169" s="211"/>
      <c r="AD169" s="211"/>
      <c r="AE169" s="211"/>
      <c r="AF169" s="211"/>
      <c r="AG169" s="211"/>
      <c r="AH169" s="211"/>
      <c r="AI169" s="211"/>
    </row>
    <row r="170" spans="1:35" ht="32.25" customHeight="1">
      <c r="A170" s="27" t="s">
        <v>427</v>
      </c>
      <c r="B170" s="27" t="s">
        <v>166</v>
      </c>
      <c r="C170" s="13" t="s">
        <v>439</v>
      </c>
      <c r="D170" s="49">
        <f>'дод. 3'!E213+'дод. 3'!E236</f>
        <v>0</v>
      </c>
      <c r="E170" s="49">
        <f>'дод. 3'!F213+'дод. 3'!F236</f>
        <v>0</v>
      </c>
      <c r="F170" s="49">
        <f>'дод. 3'!G213+'дод. 3'!G236</f>
        <v>0</v>
      </c>
      <c r="G170" s="49">
        <f>'дод. 3'!H213+'дод. 3'!H236</f>
        <v>0</v>
      </c>
      <c r="H170" s="49">
        <f>'дод. 3'!I213+'дод. 3'!I236</f>
        <v>0</v>
      </c>
      <c r="I170" s="49">
        <f>'дод. 3'!J213+'дод. 3'!J236</f>
        <v>41254441</v>
      </c>
      <c r="J170" s="49">
        <f>'дод. 3'!K213+'дод. 3'!K236</f>
        <v>0</v>
      </c>
      <c r="K170" s="49">
        <f>'дод. 3'!L213+'дод. 3'!L236</f>
        <v>0</v>
      </c>
      <c r="L170" s="49">
        <f>'дод. 3'!M213+'дод. 3'!M236</f>
        <v>0</v>
      </c>
      <c r="M170" s="49">
        <f>'дод. 3'!N213+'дод. 3'!N236</f>
        <v>41254441</v>
      </c>
      <c r="N170" s="49">
        <f>'дод. 3'!O213+'дод. 3'!O236</f>
        <v>41254441</v>
      </c>
      <c r="O170" s="49">
        <f>'дод. 3'!P213+'дод. 3'!P236</f>
        <v>41254441</v>
      </c>
      <c r="P170" s="264"/>
      <c r="Q170" s="210"/>
      <c r="R170" s="210"/>
      <c r="S170" s="210"/>
      <c r="T170" s="210"/>
      <c r="U170" s="210"/>
      <c r="V170" s="210"/>
      <c r="W170" s="210"/>
      <c r="X170" s="210"/>
      <c r="Y170" s="210"/>
      <c r="Z170" s="210"/>
      <c r="AA170" s="210"/>
      <c r="AB170" s="210"/>
      <c r="AC170" s="210"/>
      <c r="AD170" s="210"/>
      <c r="AE170" s="210"/>
      <c r="AF170" s="210"/>
      <c r="AG170" s="210"/>
      <c r="AH170" s="210"/>
      <c r="AI170" s="210"/>
    </row>
    <row r="171" spans="1:35" ht="35.25" customHeight="1">
      <c r="A171" s="5" t="s">
        <v>219</v>
      </c>
      <c r="B171" s="5" t="s">
        <v>166</v>
      </c>
      <c r="C171" s="13" t="s">
        <v>1</v>
      </c>
      <c r="D171" s="49">
        <f>'дод. 3'!E214+'дод. 3'!E237</f>
        <v>0</v>
      </c>
      <c r="E171" s="49">
        <f>'дод. 3'!F214+'дод. 3'!F237</f>
        <v>0</v>
      </c>
      <c r="F171" s="49">
        <f>'дод. 3'!G214+'дод. 3'!G237</f>
        <v>0</v>
      </c>
      <c r="G171" s="49">
        <f>'дод. 3'!H214+'дод. 3'!H237</f>
        <v>0</v>
      </c>
      <c r="H171" s="49">
        <f>'дод. 3'!I214+'дод. 3'!I237</f>
        <v>0</v>
      </c>
      <c r="I171" s="49">
        <f>'дод. 3'!J214+'дод. 3'!J237</f>
        <v>3850000</v>
      </c>
      <c r="J171" s="49">
        <f>'дод. 3'!K214+'дод. 3'!K237</f>
        <v>0</v>
      </c>
      <c r="K171" s="49">
        <f>'дод. 3'!L214+'дод. 3'!L237</f>
        <v>0</v>
      </c>
      <c r="L171" s="49">
        <f>'дод. 3'!M214+'дод. 3'!M237</f>
        <v>0</v>
      </c>
      <c r="M171" s="49">
        <f>'дод. 3'!N214+'дод. 3'!N237</f>
        <v>3850000</v>
      </c>
      <c r="N171" s="49">
        <f>'дод. 3'!O214+'дод. 3'!O237</f>
        <v>3850000</v>
      </c>
      <c r="O171" s="49">
        <f>'дод. 3'!P214+'дод. 3'!P237</f>
        <v>3850000</v>
      </c>
      <c r="P171" s="264"/>
      <c r="Q171" s="210"/>
      <c r="R171" s="210"/>
      <c r="S171" s="210"/>
      <c r="T171" s="210"/>
      <c r="U171" s="210"/>
      <c r="V171" s="210"/>
      <c r="W171" s="210"/>
      <c r="X171" s="210"/>
      <c r="Y171" s="210"/>
      <c r="Z171" s="210"/>
      <c r="AA171" s="210"/>
      <c r="AB171" s="210"/>
      <c r="AC171" s="210"/>
      <c r="AD171" s="210"/>
      <c r="AE171" s="210"/>
      <c r="AF171" s="210"/>
      <c r="AG171" s="210"/>
      <c r="AH171" s="210"/>
      <c r="AI171" s="210"/>
    </row>
    <row r="172" spans="1:35" s="22" customFormat="1" ht="39.75" customHeight="1">
      <c r="A172" s="23" t="s">
        <v>130</v>
      </c>
      <c r="B172" s="11"/>
      <c r="C172" s="11" t="s">
        <v>2</v>
      </c>
      <c r="D172" s="50">
        <f>D173+D175+D178</f>
        <v>21994636</v>
      </c>
      <c r="E172" s="50">
        <f aca="true" t="shared" si="42" ref="E172:O172">E173+E175+E178</f>
        <v>450000</v>
      </c>
      <c r="F172" s="50">
        <f t="shared" si="42"/>
        <v>0</v>
      </c>
      <c r="G172" s="50">
        <f t="shared" si="42"/>
        <v>0</v>
      </c>
      <c r="H172" s="50">
        <f t="shared" si="42"/>
        <v>21544636</v>
      </c>
      <c r="I172" s="50">
        <f t="shared" si="42"/>
        <v>2810000</v>
      </c>
      <c r="J172" s="50">
        <f t="shared" si="42"/>
        <v>0</v>
      </c>
      <c r="K172" s="50">
        <f t="shared" si="42"/>
        <v>0</v>
      </c>
      <c r="L172" s="50">
        <f t="shared" si="42"/>
        <v>0</v>
      </c>
      <c r="M172" s="50">
        <f t="shared" si="42"/>
        <v>2810000</v>
      </c>
      <c r="N172" s="50">
        <f t="shared" si="42"/>
        <v>2810000</v>
      </c>
      <c r="O172" s="50">
        <f t="shared" si="42"/>
        <v>24804636</v>
      </c>
      <c r="P172" s="264"/>
      <c r="Q172" s="214"/>
      <c r="R172" s="214"/>
      <c r="S172" s="214"/>
      <c r="T172" s="214"/>
      <c r="U172" s="214"/>
      <c r="V172" s="214"/>
      <c r="W172" s="214"/>
      <c r="X172" s="214"/>
      <c r="Y172" s="214"/>
      <c r="Z172" s="214"/>
      <c r="AA172" s="214"/>
      <c r="AB172" s="214"/>
      <c r="AC172" s="214"/>
      <c r="AD172" s="214"/>
      <c r="AE172" s="214"/>
      <c r="AF172" s="214"/>
      <c r="AG172" s="214"/>
      <c r="AH172" s="214"/>
      <c r="AI172" s="214"/>
    </row>
    <row r="173" spans="1:35" ht="39.75" customHeight="1">
      <c r="A173" s="5" t="s">
        <v>131</v>
      </c>
      <c r="B173" s="13"/>
      <c r="C173" s="13" t="s">
        <v>4</v>
      </c>
      <c r="D173" s="49">
        <f aca="true" t="shared" si="43" ref="D173:O173">D174</f>
        <v>3000000</v>
      </c>
      <c r="E173" s="49">
        <f t="shared" si="43"/>
        <v>0</v>
      </c>
      <c r="F173" s="49">
        <f t="shared" si="43"/>
        <v>0</v>
      </c>
      <c r="G173" s="49">
        <f t="shared" si="43"/>
        <v>0</v>
      </c>
      <c r="H173" s="49">
        <f t="shared" si="43"/>
        <v>3000000</v>
      </c>
      <c r="I173" s="49">
        <f t="shared" si="43"/>
        <v>0</v>
      </c>
      <c r="J173" s="49">
        <f t="shared" si="43"/>
        <v>0</v>
      </c>
      <c r="K173" s="49">
        <f t="shared" si="43"/>
        <v>0</v>
      </c>
      <c r="L173" s="49">
        <f t="shared" si="43"/>
        <v>0</v>
      </c>
      <c r="M173" s="49">
        <f t="shared" si="43"/>
        <v>0</v>
      </c>
      <c r="N173" s="49">
        <f t="shared" si="43"/>
        <v>0</v>
      </c>
      <c r="O173" s="49">
        <f t="shared" si="43"/>
        <v>3000000</v>
      </c>
      <c r="P173" s="264"/>
      <c r="Q173" s="210"/>
      <c r="R173" s="210"/>
      <c r="S173" s="210"/>
      <c r="T173" s="210"/>
      <c r="U173" s="210"/>
      <c r="V173" s="210"/>
      <c r="W173" s="210"/>
      <c r="X173" s="210"/>
      <c r="Y173" s="210"/>
      <c r="Z173" s="210"/>
      <c r="AA173" s="210"/>
      <c r="AB173" s="210"/>
      <c r="AC173" s="210"/>
      <c r="AD173" s="210"/>
      <c r="AE173" s="210"/>
      <c r="AF173" s="210"/>
      <c r="AG173" s="210"/>
      <c r="AH173" s="210"/>
      <c r="AI173" s="210"/>
    </row>
    <row r="174" spans="1:35" s="8" customFormat="1" ht="39.75" customHeight="1">
      <c r="A174" s="7" t="s">
        <v>5</v>
      </c>
      <c r="B174" s="7" t="s">
        <v>128</v>
      </c>
      <c r="C174" s="14" t="s">
        <v>68</v>
      </c>
      <c r="D174" s="51">
        <f>'дод. 3'!E42</f>
        <v>3000000</v>
      </c>
      <c r="E174" s="51">
        <f>'дод. 3'!F42</f>
        <v>0</v>
      </c>
      <c r="F174" s="51">
        <f>'дод. 3'!G42</f>
        <v>0</v>
      </c>
      <c r="G174" s="51">
        <f>'дод. 3'!H42</f>
        <v>0</v>
      </c>
      <c r="H174" s="51">
        <f>'дод. 3'!I42</f>
        <v>3000000</v>
      </c>
      <c r="I174" s="51">
        <f>'дод. 3'!J42</f>
        <v>0</v>
      </c>
      <c r="J174" s="51">
        <f>'дод. 3'!K42</f>
        <v>0</v>
      </c>
      <c r="K174" s="51">
        <f>'дод. 3'!L42</f>
        <v>0</v>
      </c>
      <c r="L174" s="51">
        <f>'дод. 3'!M42</f>
        <v>0</v>
      </c>
      <c r="M174" s="51">
        <f>'дод. 3'!N42</f>
        <v>0</v>
      </c>
      <c r="N174" s="51">
        <f>'дод. 3'!O42</f>
        <v>0</v>
      </c>
      <c r="O174" s="51">
        <f>'дод. 3'!P42</f>
        <v>3000000</v>
      </c>
      <c r="P174" s="264"/>
      <c r="Q174" s="211"/>
      <c r="R174" s="211"/>
      <c r="S174" s="211"/>
      <c r="T174" s="211"/>
      <c r="U174" s="211"/>
      <c r="V174" s="211"/>
      <c r="W174" s="211"/>
      <c r="X174" s="211"/>
      <c r="Y174" s="211"/>
      <c r="Z174" s="211"/>
      <c r="AA174" s="211"/>
      <c r="AB174" s="211"/>
      <c r="AC174" s="211"/>
      <c r="AD174" s="211"/>
      <c r="AE174" s="211"/>
      <c r="AF174" s="211"/>
      <c r="AG174" s="211"/>
      <c r="AH174" s="211"/>
      <c r="AI174" s="211"/>
    </row>
    <row r="175" spans="1:35" ht="36" customHeight="1">
      <c r="A175" s="5" t="s">
        <v>7</v>
      </c>
      <c r="B175" s="5"/>
      <c r="C175" s="13" t="s">
        <v>8</v>
      </c>
      <c r="D175" s="49">
        <f>D176+D177</f>
        <v>18544636</v>
      </c>
      <c r="E175" s="49">
        <f aca="true" t="shared" si="44" ref="E175:O175">E176+E177</f>
        <v>0</v>
      </c>
      <c r="F175" s="49">
        <f t="shared" si="44"/>
        <v>0</v>
      </c>
      <c r="G175" s="49">
        <f t="shared" si="44"/>
        <v>0</v>
      </c>
      <c r="H175" s="49">
        <f t="shared" si="44"/>
        <v>18544636</v>
      </c>
      <c r="I175" s="49">
        <f t="shared" si="44"/>
        <v>2810000</v>
      </c>
      <c r="J175" s="49">
        <f t="shared" si="44"/>
        <v>0</v>
      </c>
      <c r="K175" s="49">
        <f t="shared" si="44"/>
        <v>0</v>
      </c>
      <c r="L175" s="49">
        <f t="shared" si="44"/>
        <v>0</v>
      </c>
      <c r="M175" s="49">
        <f t="shared" si="44"/>
        <v>2810000</v>
      </c>
      <c r="N175" s="49">
        <f t="shared" si="44"/>
        <v>2810000</v>
      </c>
      <c r="O175" s="49">
        <f t="shared" si="44"/>
        <v>21354636</v>
      </c>
      <c r="P175" s="264"/>
      <c r="Q175" s="210"/>
      <c r="R175" s="210"/>
      <c r="S175" s="210"/>
      <c r="T175" s="210"/>
      <c r="U175" s="210"/>
      <c r="V175" s="210"/>
      <c r="W175" s="210"/>
      <c r="X175" s="210"/>
      <c r="Y175" s="210"/>
      <c r="Z175" s="210"/>
      <c r="AA175" s="210"/>
      <c r="AB175" s="210"/>
      <c r="AC175" s="210"/>
      <c r="AD175" s="210"/>
      <c r="AE175" s="210"/>
      <c r="AF175" s="210"/>
      <c r="AG175" s="210"/>
      <c r="AH175" s="210"/>
      <c r="AI175" s="210"/>
    </row>
    <row r="176" spans="1:35" s="8" customFormat="1" ht="39.75" customHeight="1">
      <c r="A176" s="7" t="s">
        <v>6</v>
      </c>
      <c r="B176" s="7" t="s">
        <v>129</v>
      </c>
      <c r="C176" s="14" t="s">
        <v>232</v>
      </c>
      <c r="D176" s="51">
        <f>'дод. 3'!E44</f>
        <v>6000000</v>
      </c>
      <c r="E176" s="51">
        <f>'дод. 3'!F44</f>
        <v>0</v>
      </c>
      <c r="F176" s="51">
        <f>'дод. 3'!G44</f>
        <v>0</v>
      </c>
      <c r="G176" s="51">
        <f>'дод. 3'!H44</f>
        <v>0</v>
      </c>
      <c r="H176" s="51">
        <f>'дод. 3'!I44</f>
        <v>6000000</v>
      </c>
      <c r="I176" s="51">
        <f>'дод. 3'!J44</f>
        <v>0</v>
      </c>
      <c r="J176" s="51">
        <f>'дод. 3'!K44</f>
        <v>0</v>
      </c>
      <c r="K176" s="51">
        <f>'дод. 3'!L44</f>
        <v>0</v>
      </c>
      <c r="L176" s="51">
        <f>'дод. 3'!M44</f>
        <v>0</v>
      </c>
      <c r="M176" s="51">
        <f>'дод. 3'!N44</f>
        <v>0</v>
      </c>
      <c r="N176" s="51">
        <f>'дод. 3'!O44</f>
        <v>0</v>
      </c>
      <c r="O176" s="51">
        <f>'дод. 3'!P44</f>
        <v>6000000</v>
      </c>
      <c r="P176" s="264"/>
      <c r="Q176" s="211"/>
      <c r="R176" s="211"/>
      <c r="S176" s="211"/>
      <c r="T176" s="211"/>
      <c r="U176" s="211"/>
      <c r="V176" s="211"/>
      <c r="W176" s="211"/>
      <c r="X176" s="211"/>
      <c r="Y176" s="211"/>
      <c r="Z176" s="211"/>
      <c r="AA176" s="211"/>
      <c r="AB176" s="211"/>
      <c r="AC176" s="211"/>
      <c r="AD176" s="211"/>
      <c r="AE176" s="211"/>
      <c r="AF176" s="211"/>
      <c r="AG176" s="211"/>
      <c r="AH176" s="211"/>
      <c r="AI176" s="211"/>
    </row>
    <row r="177" spans="1:35" s="8" customFormat="1" ht="24" customHeight="1">
      <c r="A177" s="7" t="s">
        <v>9</v>
      </c>
      <c r="B177" s="7" t="s">
        <v>129</v>
      </c>
      <c r="C177" s="14" t="s">
        <v>33</v>
      </c>
      <c r="D177" s="51">
        <f>'дод. 3'!E45+'дод. 3'!E239</f>
        <v>12544636</v>
      </c>
      <c r="E177" s="51">
        <f>'дод. 3'!F45+'дод. 3'!F239</f>
        <v>0</v>
      </c>
      <c r="F177" s="51">
        <f>'дод. 3'!G45+'дод. 3'!G239</f>
        <v>0</v>
      </c>
      <c r="G177" s="51">
        <f>'дод. 3'!H45+'дод. 3'!H239</f>
        <v>0</v>
      </c>
      <c r="H177" s="51">
        <f>'дод. 3'!I45+'дод. 3'!I239</f>
        <v>12544636</v>
      </c>
      <c r="I177" s="51">
        <f>'дод. 3'!J45+'дод. 3'!J239</f>
        <v>2810000</v>
      </c>
      <c r="J177" s="51">
        <f>'дод. 3'!K45+'дод. 3'!K239</f>
        <v>0</v>
      </c>
      <c r="K177" s="51">
        <f>'дод. 3'!L45+'дод. 3'!L239</f>
        <v>0</v>
      </c>
      <c r="L177" s="51">
        <f>'дод. 3'!M45+'дод. 3'!M239</f>
        <v>0</v>
      </c>
      <c r="M177" s="51">
        <f>'дод. 3'!N45+'дод. 3'!N239</f>
        <v>2810000</v>
      </c>
      <c r="N177" s="51">
        <f>'дод. 3'!O45+'дод. 3'!O239</f>
        <v>2810000</v>
      </c>
      <c r="O177" s="51">
        <f>'дод. 3'!P45+'дод. 3'!P239</f>
        <v>15354636</v>
      </c>
      <c r="P177" s="264"/>
      <c r="Q177" s="213"/>
      <c r="R177" s="213"/>
      <c r="S177" s="213"/>
      <c r="T177" s="213"/>
      <c r="U177" s="213"/>
      <c r="V177" s="213"/>
      <c r="W177" s="213"/>
      <c r="X177" s="213"/>
      <c r="Y177" s="213"/>
      <c r="Z177" s="213"/>
      <c r="AA177" s="213"/>
      <c r="AB177" s="213"/>
      <c r="AC177" s="213"/>
      <c r="AD177" s="213"/>
      <c r="AE177" s="213"/>
      <c r="AF177" s="213"/>
      <c r="AG177" s="213"/>
      <c r="AH177" s="213"/>
      <c r="AI177" s="213"/>
    </row>
    <row r="178" spans="1:35" ht="24" customHeight="1">
      <c r="A178" s="5" t="s">
        <v>494</v>
      </c>
      <c r="B178" s="5" t="s">
        <v>495</v>
      </c>
      <c r="C178" s="13" t="s">
        <v>496</v>
      </c>
      <c r="D178" s="49">
        <f>'дод. 3'!E46</f>
        <v>450000</v>
      </c>
      <c r="E178" s="49">
        <f>'дод. 3'!F46</f>
        <v>450000</v>
      </c>
      <c r="F178" s="49">
        <f>'дод. 3'!G46</f>
        <v>0</v>
      </c>
      <c r="G178" s="49">
        <f>'дод. 3'!H46</f>
        <v>0</v>
      </c>
      <c r="H178" s="49">
        <f>'дод. 3'!I46</f>
        <v>0</v>
      </c>
      <c r="I178" s="49">
        <f>'дод. 3'!J46</f>
        <v>0</v>
      </c>
      <c r="J178" s="49">
        <f>'дод. 3'!K46</f>
        <v>0</v>
      </c>
      <c r="K178" s="49">
        <f>'дод. 3'!L46</f>
        <v>0</v>
      </c>
      <c r="L178" s="49">
        <f>'дод. 3'!M46</f>
        <v>0</v>
      </c>
      <c r="M178" s="49">
        <f>'дод. 3'!N46</f>
        <v>0</v>
      </c>
      <c r="N178" s="49">
        <f>'дод. 3'!O46</f>
        <v>0</v>
      </c>
      <c r="O178" s="49">
        <f>'дод. 3'!P46</f>
        <v>450000</v>
      </c>
      <c r="P178" s="264"/>
      <c r="Q178" s="210"/>
      <c r="R178" s="210"/>
      <c r="S178" s="210"/>
      <c r="T178" s="210"/>
      <c r="U178" s="210"/>
      <c r="V178" s="210"/>
      <c r="W178" s="210"/>
      <c r="X178" s="210"/>
      <c r="Y178" s="210"/>
      <c r="Z178" s="210"/>
      <c r="AA178" s="210"/>
      <c r="AB178" s="210"/>
      <c r="AC178" s="210"/>
      <c r="AD178" s="210"/>
      <c r="AE178" s="210"/>
      <c r="AF178" s="210"/>
      <c r="AG178" s="210"/>
      <c r="AH178" s="210"/>
      <c r="AI178" s="210"/>
    </row>
    <row r="179" spans="1:35" s="22" customFormat="1" ht="28.5" customHeight="1">
      <c r="A179" s="35" t="s">
        <v>381</v>
      </c>
      <c r="B179" s="11"/>
      <c r="C179" s="11" t="s">
        <v>382</v>
      </c>
      <c r="D179" s="50">
        <f aca="true" t="shared" si="45" ref="D179:O179">D180</f>
        <v>7276490</v>
      </c>
      <c r="E179" s="50">
        <f t="shared" si="45"/>
        <v>7276490</v>
      </c>
      <c r="F179" s="50">
        <f t="shared" si="45"/>
        <v>0</v>
      </c>
      <c r="G179" s="50">
        <f t="shared" si="45"/>
        <v>0</v>
      </c>
      <c r="H179" s="50">
        <f t="shared" si="45"/>
        <v>0</v>
      </c>
      <c r="I179" s="50">
        <f t="shared" si="45"/>
        <v>4897000</v>
      </c>
      <c r="J179" s="50">
        <f t="shared" si="45"/>
        <v>0</v>
      </c>
      <c r="K179" s="50">
        <f t="shared" si="45"/>
        <v>0</v>
      </c>
      <c r="L179" s="50">
        <f t="shared" si="45"/>
        <v>0</v>
      </c>
      <c r="M179" s="50">
        <f t="shared" si="45"/>
        <v>4897000</v>
      </c>
      <c r="N179" s="50">
        <f t="shared" si="45"/>
        <v>4897000</v>
      </c>
      <c r="O179" s="50">
        <f t="shared" si="45"/>
        <v>12173490</v>
      </c>
      <c r="P179" s="264"/>
      <c r="Q179" s="214"/>
      <c r="R179" s="214"/>
      <c r="S179" s="214"/>
      <c r="T179" s="214"/>
      <c r="U179" s="214"/>
      <c r="V179" s="214"/>
      <c r="W179" s="214"/>
      <c r="X179" s="214"/>
      <c r="Y179" s="214"/>
      <c r="Z179" s="214"/>
      <c r="AA179" s="214"/>
      <c r="AB179" s="214"/>
      <c r="AC179" s="214"/>
      <c r="AD179" s="214"/>
      <c r="AE179" s="214"/>
      <c r="AF179" s="214"/>
      <c r="AG179" s="214"/>
      <c r="AH179" s="214"/>
      <c r="AI179" s="214"/>
    </row>
    <row r="180" spans="1:35" ht="37.5" customHeight="1">
      <c r="A180" s="27" t="s">
        <v>379</v>
      </c>
      <c r="B180" s="27" t="s">
        <v>380</v>
      </c>
      <c r="C180" s="54" t="s">
        <v>378</v>
      </c>
      <c r="D180" s="49">
        <f>'дод. 3'!E47</f>
        <v>7276490</v>
      </c>
      <c r="E180" s="49">
        <f>'дод. 3'!F47</f>
        <v>7276490</v>
      </c>
      <c r="F180" s="49">
        <f>'дод. 3'!G47</f>
        <v>0</v>
      </c>
      <c r="G180" s="49">
        <f>'дод. 3'!H47</f>
        <v>0</v>
      </c>
      <c r="H180" s="49">
        <f>'дод. 3'!I47</f>
        <v>0</v>
      </c>
      <c r="I180" s="49">
        <f>'дод. 3'!J47</f>
        <v>4897000</v>
      </c>
      <c r="J180" s="49">
        <f>'дод. 3'!K47</f>
        <v>0</v>
      </c>
      <c r="K180" s="49">
        <f>'дод. 3'!L47</f>
        <v>0</v>
      </c>
      <c r="L180" s="49">
        <f>'дод. 3'!M47</f>
        <v>0</v>
      </c>
      <c r="M180" s="49">
        <f>'дод. 3'!N47</f>
        <v>4897000</v>
      </c>
      <c r="N180" s="49">
        <f>'дод. 3'!O47</f>
        <v>4897000</v>
      </c>
      <c r="O180" s="49">
        <f>'дод. 3'!P47</f>
        <v>12173490</v>
      </c>
      <c r="P180" s="264"/>
      <c r="Q180" s="210"/>
      <c r="R180" s="210"/>
      <c r="S180" s="210"/>
      <c r="T180" s="210"/>
      <c r="U180" s="210"/>
      <c r="V180" s="210"/>
      <c r="W180" s="210"/>
      <c r="X180" s="210"/>
      <c r="Y180" s="210"/>
      <c r="Z180" s="210"/>
      <c r="AA180" s="210"/>
      <c r="AB180" s="210"/>
      <c r="AC180" s="210"/>
      <c r="AD180" s="210"/>
      <c r="AE180" s="210"/>
      <c r="AF180" s="210"/>
      <c r="AG180" s="210"/>
      <c r="AH180" s="210"/>
      <c r="AI180" s="210"/>
    </row>
    <row r="181" spans="1:35" s="22" customFormat="1" ht="38.25" customHeight="1">
      <c r="A181" s="23" t="s">
        <v>134</v>
      </c>
      <c r="B181" s="11"/>
      <c r="C181" s="11" t="s">
        <v>10</v>
      </c>
      <c r="D181" s="50">
        <f>D182+D183+D186+D187+D188+D184+D185</f>
        <v>6874067</v>
      </c>
      <c r="E181" s="50">
        <f aca="true" t="shared" si="46" ref="E181:O181">E182+E183+E186+E187+E188+E184+E185</f>
        <v>5774067</v>
      </c>
      <c r="F181" s="50">
        <f t="shared" si="46"/>
        <v>0</v>
      </c>
      <c r="G181" s="50">
        <f t="shared" si="46"/>
        <v>0</v>
      </c>
      <c r="H181" s="50">
        <f t="shared" si="46"/>
        <v>1100000</v>
      </c>
      <c r="I181" s="50">
        <f t="shared" si="46"/>
        <v>73294946</v>
      </c>
      <c r="J181" s="50">
        <f t="shared" si="46"/>
        <v>484946</v>
      </c>
      <c r="K181" s="50">
        <f t="shared" si="46"/>
        <v>0</v>
      </c>
      <c r="L181" s="50">
        <f t="shared" si="46"/>
        <v>0</v>
      </c>
      <c r="M181" s="50">
        <f t="shared" si="46"/>
        <v>72810000</v>
      </c>
      <c r="N181" s="50">
        <f t="shared" si="46"/>
        <v>72010000</v>
      </c>
      <c r="O181" s="50">
        <f t="shared" si="46"/>
        <v>80169013</v>
      </c>
      <c r="P181" s="264"/>
      <c r="Q181" s="214"/>
      <c r="R181" s="214"/>
      <c r="S181" s="214"/>
      <c r="T181" s="214"/>
      <c r="U181" s="214"/>
      <c r="V181" s="214"/>
      <c r="W181" s="214"/>
      <c r="X181" s="214"/>
      <c r="Y181" s="214"/>
      <c r="Z181" s="214"/>
      <c r="AA181" s="214"/>
      <c r="AB181" s="214"/>
      <c r="AC181" s="214"/>
      <c r="AD181" s="214"/>
      <c r="AE181" s="214"/>
      <c r="AF181" s="214"/>
      <c r="AG181" s="214"/>
      <c r="AH181" s="214"/>
      <c r="AI181" s="214"/>
    </row>
    <row r="182" spans="1:35" ht="38.25" customHeight="1">
      <c r="A182" s="5" t="s">
        <v>11</v>
      </c>
      <c r="B182" s="5" t="s">
        <v>133</v>
      </c>
      <c r="C182" s="13" t="s">
        <v>46</v>
      </c>
      <c r="D182" s="49">
        <f>'дод. 3'!E48+'дод. 3'!E254</f>
        <v>1173000</v>
      </c>
      <c r="E182" s="49">
        <f>'дод. 3'!F48+'дод. 3'!F254</f>
        <v>273000</v>
      </c>
      <c r="F182" s="49">
        <f>'дод. 3'!G48+'дод. 3'!G254</f>
        <v>0</v>
      </c>
      <c r="G182" s="49">
        <f>'дод. 3'!H48+'дод. 3'!H254</f>
        <v>0</v>
      </c>
      <c r="H182" s="49">
        <f>'дод. 3'!I48+'дод. 3'!I254</f>
        <v>900000</v>
      </c>
      <c r="I182" s="49">
        <f>'дод. 3'!J48+'дод. 3'!J254</f>
        <v>0</v>
      </c>
      <c r="J182" s="49">
        <f>'дод. 3'!K48+'дод. 3'!K254</f>
        <v>0</v>
      </c>
      <c r="K182" s="49">
        <f>'дод. 3'!L48+'дод. 3'!L254</f>
        <v>0</v>
      </c>
      <c r="L182" s="49">
        <f>'дод. 3'!M48+'дод. 3'!M254</f>
        <v>0</v>
      </c>
      <c r="M182" s="49">
        <f>'дод. 3'!N48+'дод. 3'!N254</f>
        <v>0</v>
      </c>
      <c r="N182" s="49">
        <f>'дод. 3'!O48+'дод. 3'!O254</f>
        <v>0</v>
      </c>
      <c r="O182" s="49">
        <f>'дод. 3'!P48+'дод. 3'!P254</f>
        <v>1173000</v>
      </c>
      <c r="P182" s="264"/>
      <c r="Q182" s="210"/>
      <c r="R182" s="210"/>
      <c r="S182" s="210"/>
      <c r="T182" s="210"/>
      <c r="U182" s="210"/>
      <c r="V182" s="210"/>
      <c r="W182" s="210"/>
      <c r="X182" s="210"/>
      <c r="Y182" s="210"/>
      <c r="Z182" s="210"/>
      <c r="AA182" s="210"/>
      <c r="AB182" s="210"/>
      <c r="AC182" s="210"/>
      <c r="AD182" s="210"/>
      <c r="AE182" s="210"/>
      <c r="AF182" s="210"/>
      <c r="AG182" s="210"/>
      <c r="AH182" s="210"/>
      <c r="AI182" s="210"/>
    </row>
    <row r="183" spans="1:35" ht="24.75" customHeight="1">
      <c r="A183" s="5" t="s">
        <v>3</v>
      </c>
      <c r="B183" s="5" t="s">
        <v>132</v>
      </c>
      <c r="C183" s="13" t="s">
        <v>64</v>
      </c>
      <c r="D183" s="49">
        <f>'дод. 3'!E83+'дод. 3'!E115+'дод. 3'!E184+'дод. 3'!E199+'дод. 3'!E215+'дод. 3'!E240+'дод. 3'!E49+'дод. 3'!E265</f>
        <v>3047675</v>
      </c>
      <c r="E183" s="49">
        <f>'дод. 3'!F83+'дод. 3'!F115+'дод. 3'!F184+'дод. 3'!F199+'дод. 3'!F215+'дод. 3'!F240+'дод. 3'!F49+'дод. 3'!F265</f>
        <v>2847675</v>
      </c>
      <c r="F183" s="49">
        <f>'дод. 3'!G83+'дод. 3'!G115+'дод. 3'!G184+'дод. 3'!G199+'дод. 3'!G215+'дод. 3'!G240+'дод. 3'!G49+'дод. 3'!G265</f>
        <v>0</v>
      </c>
      <c r="G183" s="49">
        <f>'дод. 3'!H83+'дод. 3'!H115+'дод. 3'!H184+'дод. 3'!H199+'дод. 3'!H215+'дод. 3'!H240+'дод. 3'!H49+'дод. 3'!H265</f>
        <v>0</v>
      </c>
      <c r="H183" s="49">
        <f>'дод. 3'!I83+'дод. 3'!I115+'дод. 3'!I184+'дод. 3'!I199+'дод. 3'!I215+'дод. 3'!I240+'дод. 3'!I49+'дод. 3'!I265</f>
        <v>200000</v>
      </c>
      <c r="I183" s="49">
        <f>'дод. 3'!J83+'дод. 3'!J115+'дод. 3'!J184+'дод. 3'!J199+'дод. 3'!J215+'дод. 3'!J240+'дод. 3'!J49+'дод. 3'!J265</f>
        <v>42720000</v>
      </c>
      <c r="J183" s="49">
        <f>'дод. 3'!K83+'дод. 3'!K115+'дод. 3'!K184+'дод. 3'!K199+'дод. 3'!K215+'дод. 3'!K240+'дод. 3'!K49+'дод. 3'!K265</f>
        <v>0</v>
      </c>
      <c r="K183" s="49">
        <f>'дод. 3'!L83+'дод. 3'!L115+'дод. 3'!L184+'дод. 3'!L199+'дод. 3'!L215+'дод. 3'!L240+'дод. 3'!L49+'дод. 3'!L265</f>
        <v>0</v>
      </c>
      <c r="L183" s="49">
        <f>'дод. 3'!M83+'дод. 3'!M115+'дод. 3'!M184+'дод. 3'!M199+'дод. 3'!M215+'дод. 3'!M240+'дод. 3'!M49+'дод. 3'!M265</f>
        <v>0</v>
      </c>
      <c r="M183" s="49">
        <f>'дод. 3'!N83+'дод. 3'!N115+'дод. 3'!N184+'дод. 3'!N199+'дод. 3'!N215+'дод. 3'!N240+'дод. 3'!N49+'дод. 3'!N265</f>
        <v>42720000</v>
      </c>
      <c r="N183" s="49">
        <f>'дод. 3'!O83+'дод. 3'!O115+'дод. 3'!O184+'дод. 3'!O199+'дод. 3'!O215+'дод. 3'!O240+'дод. 3'!O49+'дод. 3'!O265</f>
        <v>42720000</v>
      </c>
      <c r="O183" s="49">
        <f>'дод. 3'!P83+'дод. 3'!P115+'дод. 3'!P184+'дод. 3'!P199+'дод. 3'!P215+'дод. 3'!P240+'дод. 3'!P49+'дод. 3'!P265</f>
        <v>45767675</v>
      </c>
      <c r="P183" s="263">
        <v>30</v>
      </c>
      <c r="Q183" s="210"/>
      <c r="R183" s="210"/>
      <c r="S183" s="210"/>
      <c r="T183" s="210"/>
      <c r="U183" s="210"/>
      <c r="V183" s="210"/>
      <c r="W183" s="210"/>
      <c r="X183" s="210"/>
      <c r="Y183" s="210"/>
      <c r="Z183" s="210"/>
      <c r="AA183" s="210"/>
      <c r="AB183" s="210"/>
      <c r="AC183" s="210"/>
      <c r="AD183" s="210"/>
      <c r="AE183" s="210"/>
      <c r="AF183" s="210"/>
      <c r="AG183" s="210"/>
      <c r="AH183" s="210"/>
      <c r="AI183" s="210"/>
    </row>
    <row r="184" spans="1:35" ht="33.75" customHeight="1">
      <c r="A184" s="5" t="s">
        <v>418</v>
      </c>
      <c r="B184" s="5" t="s">
        <v>126</v>
      </c>
      <c r="C184" s="13" t="s">
        <v>421</v>
      </c>
      <c r="D184" s="49">
        <f>'дод. 3'!E255</f>
        <v>0</v>
      </c>
      <c r="E184" s="49">
        <f>'дод. 3'!F255</f>
        <v>0</v>
      </c>
      <c r="F184" s="49">
        <f>'дод. 3'!G255</f>
        <v>0</v>
      </c>
      <c r="G184" s="49">
        <f>'дод. 3'!H255</f>
        <v>0</v>
      </c>
      <c r="H184" s="49">
        <f>'дод. 3'!I255</f>
        <v>0</v>
      </c>
      <c r="I184" s="49">
        <f>'дод. 3'!J255</f>
        <v>25000</v>
      </c>
      <c r="J184" s="49">
        <f>'дод. 3'!K255</f>
        <v>0</v>
      </c>
      <c r="K184" s="49">
        <f>'дод. 3'!L255</f>
        <v>0</v>
      </c>
      <c r="L184" s="49">
        <f>'дод. 3'!M255</f>
        <v>0</v>
      </c>
      <c r="M184" s="49">
        <f>'дод. 3'!N255</f>
        <v>25000</v>
      </c>
      <c r="N184" s="49">
        <f>'дод. 3'!O255</f>
        <v>25000</v>
      </c>
      <c r="O184" s="49">
        <f>'дод. 3'!P255</f>
        <v>25000</v>
      </c>
      <c r="P184" s="263"/>
      <c r="Q184" s="210"/>
      <c r="R184" s="210"/>
      <c r="S184" s="210"/>
      <c r="T184" s="210"/>
      <c r="U184" s="210"/>
      <c r="V184" s="210"/>
      <c r="W184" s="210"/>
      <c r="X184" s="210"/>
      <c r="Y184" s="210"/>
      <c r="Z184" s="210"/>
      <c r="AA184" s="210"/>
      <c r="AB184" s="210"/>
      <c r="AC184" s="210"/>
      <c r="AD184" s="210"/>
      <c r="AE184" s="210"/>
      <c r="AF184" s="210"/>
      <c r="AG184" s="210"/>
      <c r="AH184" s="210"/>
      <c r="AI184" s="210"/>
    </row>
    <row r="185" spans="1:35" ht="66.75" customHeight="1">
      <c r="A185" s="5" t="s">
        <v>420</v>
      </c>
      <c r="B185" s="5" t="s">
        <v>126</v>
      </c>
      <c r="C185" s="13" t="s">
        <v>422</v>
      </c>
      <c r="D185" s="49">
        <f>'дод. 3'!E256</f>
        <v>0</v>
      </c>
      <c r="E185" s="49">
        <f>'дод. 3'!F256</f>
        <v>0</v>
      </c>
      <c r="F185" s="49">
        <f>'дод. 3'!G256</f>
        <v>0</v>
      </c>
      <c r="G185" s="49">
        <f>'дод. 3'!H256</f>
        <v>0</v>
      </c>
      <c r="H185" s="49">
        <f>'дод. 3'!I256</f>
        <v>0</v>
      </c>
      <c r="I185" s="49">
        <f>'дод. 3'!J256</f>
        <v>25000</v>
      </c>
      <c r="J185" s="49">
        <f>'дод. 3'!K256</f>
        <v>0</v>
      </c>
      <c r="K185" s="49">
        <f>'дод. 3'!L256</f>
        <v>0</v>
      </c>
      <c r="L185" s="49">
        <f>'дод. 3'!M256</f>
        <v>0</v>
      </c>
      <c r="M185" s="49">
        <f>'дод. 3'!N256</f>
        <v>25000</v>
      </c>
      <c r="N185" s="49">
        <f>'дод. 3'!O256</f>
        <v>25000</v>
      </c>
      <c r="O185" s="49">
        <f>'дод. 3'!P256</f>
        <v>25000</v>
      </c>
      <c r="P185" s="263"/>
      <c r="Q185" s="210"/>
      <c r="R185" s="210"/>
      <c r="S185" s="210"/>
      <c r="T185" s="210"/>
      <c r="U185" s="210"/>
      <c r="V185" s="210"/>
      <c r="W185" s="210"/>
      <c r="X185" s="210"/>
      <c r="Y185" s="210"/>
      <c r="Z185" s="210"/>
      <c r="AA185" s="210"/>
      <c r="AB185" s="210"/>
      <c r="AC185" s="210"/>
      <c r="AD185" s="210"/>
      <c r="AE185" s="210"/>
      <c r="AF185" s="210"/>
      <c r="AG185" s="210"/>
      <c r="AH185" s="210"/>
      <c r="AI185" s="210"/>
    </row>
    <row r="186" spans="1:35" ht="31.5">
      <c r="A186" s="5" t="s">
        <v>12</v>
      </c>
      <c r="B186" s="5" t="s">
        <v>126</v>
      </c>
      <c r="C186" s="13" t="s">
        <v>47</v>
      </c>
      <c r="D186" s="49">
        <f>'дод. 3'!E50</f>
        <v>0</v>
      </c>
      <c r="E186" s="49">
        <f>'дод. 3'!F50</f>
        <v>0</v>
      </c>
      <c r="F186" s="49">
        <f>'дод. 3'!G50</f>
        <v>0</v>
      </c>
      <c r="G186" s="49">
        <f>'дод. 3'!H50</f>
        <v>0</v>
      </c>
      <c r="H186" s="49">
        <f>'дод. 3'!I50</f>
        <v>0</v>
      </c>
      <c r="I186" s="49">
        <f>'дод. 3'!J50</f>
        <v>29240000</v>
      </c>
      <c r="J186" s="49">
        <f>'дод. 3'!K50</f>
        <v>0</v>
      </c>
      <c r="K186" s="49">
        <f>'дод. 3'!L50</f>
        <v>0</v>
      </c>
      <c r="L186" s="49">
        <f>'дод. 3'!M50</f>
        <v>0</v>
      </c>
      <c r="M186" s="49">
        <f>'дод. 3'!N50</f>
        <v>29240000</v>
      </c>
      <c r="N186" s="49">
        <f>'дод. 3'!O50</f>
        <v>29240000</v>
      </c>
      <c r="O186" s="49">
        <f>'дод. 3'!P50</f>
        <v>29240000</v>
      </c>
      <c r="P186" s="263"/>
      <c r="Q186" s="210"/>
      <c r="R186" s="210"/>
      <c r="S186" s="210"/>
      <c r="T186" s="210"/>
      <c r="U186" s="210"/>
      <c r="V186" s="210"/>
      <c r="W186" s="210"/>
      <c r="X186" s="210"/>
      <c r="Y186" s="210"/>
      <c r="Z186" s="210"/>
      <c r="AA186" s="210"/>
      <c r="AB186" s="210"/>
      <c r="AC186" s="210"/>
      <c r="AD186" s="210"/>
      <c r="AE186" s="210"/>
      <c r="AF186" s="210"/>
      <c r="AG186" s="210"/>
      <c r="AH186" s="210"/>
      <c r="AI186" s="210"/>
    </row>
    <row r="187" spans="1:35" ht="36.75" customHeight="1">
      <c r="A187" s="5" t="s">
        <v>392</v>
      </c>
      <c r="B187" s="5" t="s">
        <v>126</v>
      </c>
      <c r="C187" s="13" t="s">
        <v>393</v>
      </c>
      <c r="D187" s="49">
        <f>'дод. 3'!E51</f>
        <v>209333</v>
      </c>
      <c r="E187" s="49">
        <f>'дод. 3'!F51</f>
        <v>209333</v>
      </c>
      <c r="F187" s="49">
        <f>'дод. 3'!G51</f>
        <v>0</v>
      </c>
      <c r="G187" s="49">
        <f>'дод. 3'!H51</f>
        <v>0</v>
      </c>
      <c r="H187" s="49">
        <f>'дод. 3'!I51</f>
        <v>0</v>
      </c>
      <c r="I187" s="49">
        <f>'дод. 3'!J51</f>
        <v>0</v>
      </c>
      <c r="J187" s="49">
        <f>'дод. 3'!K51</f>
        <v>0</v>
      </c>
      <c r="K187" s="49">
        <f>'дод. 3'!L51</f>
        <v>0</v>
      </c>
      <c r="L187" s="49">
        <f>'дод. 3'!M51</f>
        <v>0</v>
      </c>
      <c r="M187" s="49">
        <f>'дод. 3'!N51</f>
        <v>0</v>
      </c>
      <c r="N187" s="49">
        <f>'дод. 3'!O51</f>
        <v>0</v>
      </c>
      <c r="O187" s="49">
        <f>'дод. 3'!P51</f>
        <v>209333</v>
      </c>
      <c r="P187" s="263"/>
      <c r="Q187" s="210"/>
      <c r="R187" s="210"/>
      <c r="S187" s="210"/>
      <c r="T187" s="210"/>
      <c r="U187" s="210"/>
      <c r="V187" s="210"/>
      <c r="W187" s="210"/>
      <c r="X187" s="210"/>
      <c r="Y187" s="210"/>
      <c r="Z187" s="210"/>
      <c r="AA187" s="210"/>
      <c r="AB187" s="210"/>
      <c r="AC187" s="210"/>
      <c r="AD187" s="210"/>
      <c r="AE187" s="210"/>
      <c r="AF187" s="210"/>
      <c r="AG187" s="210"/>
      <c r="AH187" s="210"/>
      <c r="AI187" s="210"/>
    </row>
    <row r="188" spans="1:35" ht="29.25" customHeight="1">
      <c r="A188" s="5" t="s">
        <v>13</v>
      </c>
      <c r="B188" s="5"/>
      <c r="C188" s="13" t="s">
        <v>413</v>
      </c>
      <c r="D188" s="49">
        <f>D189+D190</f>
        <v>2444059</v>
      </c>
      <c r="E188" s="49">
        <f aca="true" t="shared" si="47" ref="E188:O188">E189+E190</f>
        <v>2444059</v>
      </c>
      <c r="F188" s="49">
        <f t="shared" si="47"/>
        <v>0</v>
      </c>
      <c r="G188" s="49">
        <f t="shared" si="47"/>
        <v>0</v>
      </c>
      <c r="H188" s="49">
        <f t="shared" si="47"/>
        <v>0</v>
      </c>
      <c r="I188" s="49">
        <f t="shared" si="47"/>
        <v>1284946</v>
      </c>
      <c r="J188" s="49">
        <f t="shared" si="47"/>
        <v>484946</v>
      </c>
      <c r="K188" s="49">
        <f t="shared" si="47"/>
        <v>0</v>
      </c>
      <c r="L188" s="49">
        <f t="shared" si="47"/>
        <v>0</v>
      </c>
      <c r="M188" s="49">
        <f t="shared" si="47"/>
        <v>800000</v>
      </c>
      <c r="N188" s="49">
        <f t="shared" si="47"/>
        <v>0</v>
      </c>
      <c r="O188" s="49">
        <f t="shared" si="47"/>
        <v>3729005</v>
      </c>
      <c r="P188" s="263"/>
      <c r="Q188" s="210"/>
      <c r="R188" s="210"/>
      <c r="S188" s="210"/>
      <c r="T188" s="210"/>
      <c r="U188" s="210"/>
      <c r="V188" s="210"/>
      <c r="W188" s="210"/>
      <c r="X188" s="210"/>
      <c r="Y188" s="210"/>
      <c r="Z188" s="210"/>
      <c r="AA188" s="210"/>
      <c r="AB188" s="210"/>
      <c r="AC188" s="210"/>
      <c r="AD188" s="210"/>
      <c r="AE188" s="210"/>
      <c r="AF188" s="210"/>
      <c r="AG188" s="210"/>
      <c r="AH188" s="210"/>
      <c r="AI188" s="210"/>
    </row>
    <row r="189" spans="1:35" s="8" customFormat="1" ht="122.25" customHeight="1">
      <c r="A189" s="7" t="s">
        <v>468</v>
      </c>
      <c r="B189" s="7" t="s">
        <v>126</v>
      </c>
      <c r="C189" s="14" t="s">
        <v>501</v>
      </c>
      <c r="D189" s="51">
        <f>'дод. 3'!E53+'дод. 3'!E246+'дод. 3'!E217</f>
        <v>0</v>
      </c>
      <c r="E189" s="51">
        <f>'дод. 3'!F53+'дод. 3'!F246+'дод. 3'!F217</f>
        <v>0</v>
      </c>
      <c r="F189" s="51">
        <f>'дод. 3'!G53+'дод. 3'!G246+'дод. 3'!G217</f>
        <v>0</v>
      </c>
      <c r="G189" s="51">
        <f>'дод. 3'!H53+'дод. 3'!H246+'дод. 3'!H217</f>
        <v>0</v>
      </c>
      <c r="H189" s="51">
        <f>'дод. 3'!I53+'дод. 3'!I246+'дод. 3'!I217</f>
        <v>0</v>
      </c>
      <c r="I189" s="51">
        <f>'дод. 3'!J53+'дод. 3'!J246+'дод. 3'!J217</f>
        <v>1284946</v>
      </c>
      <c r="J189" s="51">
        <f>'дод. 3'!K53+'дод. 3'!K246+'дод. 3'!K217</f>
        <v>484946</v>
      </c>
      <c r="K189" s="51">
        <f>'дод. 3'!L53+'дод. 3'!L246+'дод. 3'!L217</f>
        <v>0</v>
      </c>
      <c r="L189" s="51">
        <f>'дод. 3'!M53+'дод. 3'!M246+'дод. 3'!M217</f>
        <v>0</v>
      </c>
      <c r="M189" s="51">
        <f>'дод. 3'!N53+'дод. 3'!N246+'дод. 3'!N217</f>
        <v>800000</v>
      </c>
      <c r="N189" s="51">
        <f>'дод. 3'!O53+'дод. 3'!O246+'дод. 3'!O217</f>
        <v>0</v>
      </c>
      <c r="O189" s="51">
        <f>'дод. 3'!P53+'дод. 3'!P246+'дод. 3'!P217</f>
        <v>1284946</v>
      </c>
      <c r="P189" s="263"/>
      <c r="Q189" s="211"/>
      <c r="R189" s="211"/>
      <c r="S189" s="211"/>
      <c r="T189" s="211"/>
      <c r="U189" s="211"/>
      <c r="V189" s="211"/>
      <c r="W189" s="211"/>
      <c r="X189" s="211"/>
      <c r="Y189" s="211"/>
      <c r="Z189" s="211"/>
      <c r="AA189" s="211"/>
      <c r="AB189" s="211"/>
      <c r="AC189" s="211"/>
      <c r="AD189" s="211"/>
      <c r="AE189" s="211"/>
      <c r="AF189" s="211"/>
      <c r="AG189" s="211"/>
      <c r="AH189" s="211"/>
      <c r="AI189" s="211"/>
    </row>
    <row r="190" spans="1:35" s="8" customFormat="1" ht="30.75" customHeight="1">
      <c r="A190" s="7" t="s">
        <v>383</v>
      </c>
      <c r="B190" s="7" t="s">
        <v>126</v>
      </c>
      <c r="C190" s="14" t="s">
        <v>34</v>
      </c>
      <c r="D190" s="51">
        <f>'дод. 3'!E54+'дод. 3'!E258</f>
        <v>2444059</v>
      </c>
      <c r="E190" s="51">
        <f>'дод. 3'!F54+'дод. 3'!F258</f>
        <v>2444059</v>
      </c>
      <c r="F190" s="51">
        <f>'дод. 3'!G54+'дод. 3'!G258</f>
        <v>0</v>
      </c>
      <c r="G190" s="51">
        <f>'дод. 3'!H54+'дод. 3'!H258</f>
        <v>0</v>
      </c>
      <c r="H190" s="51">
        <f>'дод. 3'!I54+'дод. 3'!I258</f>
        <v>0</v>
      </c>
      <c r="I190" s="51">
        <f>'дод. 3'!J54+'дод. 3'!J258</f>
        <v>0</v>
      </c>
      <c r="J190" s="51">
        <f>'дод. 3'!K54+'дод. 3'!K258</f>
        <v>0</v>
      </c>
      <c r="K190" s="51">
        <f>'дод. 3'!L54+'дод. 3'!L258</f>
        <v>0</v>
      </c>
      <c r="L190" s="51">
        <f>'дод. 3'!M54+'дод. 3'!M258</f>
        <v>0</v>
      </c>
      <c r="M190" s="51">
        <f>'дод. 3'!N54+'дод. 3'!N258</f>
        <v>0</v>
      </c>
      <c r="N190" s="51">
        <f>'дод. 3'!O54+'дод. 3'!O258</f>
        <v>0</v>
      </c>
      <c r="O190" s="51">
        <f>'дод. 3'!P54+'дод. 3'!P258</f>
        <v>2444059</v>
      </c>
      <c r="P190" s="263"/>
      <c r="Q190" s="211"/>
      <c r="R190" s="211"/>
      <c r="S190" s="211"/>
      <c r="T190" s="211"/>
      <c r="U190" s="211"/>
      <c r="V190" s="211"/>
      <c r="W190" s="211"/>
      <c r="X190" s="211"/>
      <c r="Y190" s="211"/>
      <c r="Z190" s="211"/>
      <c r="AA190" s="211"/>
      <c r="AB190" s="211"/>
      <c r="AC190" s="211"/>
      <c r="AD190" s="211"/>
      <c r="AE190" s="211"/>
      <c r="AF190" s="211"/>
      <c r="AG190" s="211"/>
      <c r="AH190" s="211"/>
      <c r="AI190" s="211"/>
    </row>
    <row r="191" spans="1:35" s="22" customFormat="1" ht="23.25" customHeight="1">
      <c r="A191" s="23" t="s">
        <v>141</v>
      </c>
      <c r="B191" s="10"/>
      <c r="C191" s="11" t="s">
        <v>15</v>
      </c>
      <c r="D191" s="50">
        <f>D192+D195+D197+D200+D202+D203</f>
        <v>7938574.97</v>
      </c>
      <c r="E191" s="50">
        <f aca="true" t="shared" si="48" ref="E191:O191">E192+E195+E197+E200+E202+E203</f>
        <v>2735892.41</v>
      </c>
      <c r="F191" s="50">
        <f t="shared" si="48"/>
        <v>1087750</v>
      </c>
      <c r="G191" s="50">
        <f t="shared" si="48"/>
        <v>303626</v>
      </c>
      <c r="H191" s="50">
        <f t="shared" si="48"/>
        <v>0</v>
      </c>
      <c r="I191" s="50">
        <f t="shared" si="48"/>
        <v>3785100</v>
      </c>
      <c r="J191" s="50">
        <f t="shared" si="48"/>
        <v>2198100</v>
      </c>
      <c r="K191" s="50">
        <f t="shared" si="48"/>
        <v>0</v>
      </c>
      <c r="L191" s="50">
        <f t="shared" si="48"/>
        <v>1200</v>
      </c>
      <c r="M191" s="50">
        <f t="shared" si="48"/>
        <v>1587000</v>
      </c>
      <c r="N191" s="50">
        <f t="shared" si="48"/>
        <v>0</v>
      </c>
      <c r="O191" s="50">
        <f t="shared" si="48"/>
        <v>11723674.969999999</v>
      </c>
      <c r="P191" s="263"/>
      <c r="Q191" s="214"/>
      <c r="R191" s="214"/>
      <c r="S191" s="214"/>
      <c r="T191" s="214"/>
      <c r="U191" s="214"/>
      <c r="V191" s="214"/>
      <c r="W191" s="214"/>
      <c r="X191" s="214"/>
      <c r="Y191" s="214"/>
      <c r="Z191" s="214"/>
      <c r="AA191" s="214"/>
      <c r="AB191" s="214"/>
      <c r="AC191" s="214"/>
      <c r="AD191" s="214"/>
      <c r="AE191" s="214"/>
      <c r="AF191" s="214"/>
      <c r="AG191" s="214"/>
      <c r="AH191" s="214"/>
      <c r="AI191" s="214"/>
    </row>
    <row r="192" spans="1:35" s="22" customFormat="1" ht="49.5" customHeight="1">
      <c r="A192" s="23" t="s">
        <v>143</v>
      </c>
      <c r="B192" s="31"/>
      <c r="C192" s="11" t="s">
        <v>16</v>
      </c>
      <c r="D192" s="50">
        <f>D193+D194</f>
        <v>1926040</v>
      </c>
      <c r="E192" s="50">
        <f aca="true" t="shared" si="49" ref="E192:O192">E193+E194</f>
        <v>1926040</v>
      </c>
      <c r="F192" s="50">
        <f t="shared" si="49"/>
        <v>1087750</v>
      </c>
      <c r="G192" s="50">
        <f t="shared" si="49"/>
        <v>81385</v>
      </c>
      <c r="H192" s="50">
        <f t="shared" si="49"/>
        <v>0</v>
      </c>
      <c r="I192" s="50">
        <f t="shared" si="49"/>
        <v>5100</v>
      </c>
      <c r="J192" s="50">
        <f t="shared" si="49"/>
        <v>5100</v>
      </c>
      <c r="K192" s="50">
        <f t="shared" si="49"/>
        <v>0</v>
      </c>
      <c r="L192" s="50">
        <f t="shared" si="49"/>
        <v>1200</v>
      </c>
      <c r="M192" s="50">
        <f t="shared" si="49"/>
        <v>0</v>
      </c>
      <c r="N192" s="50">
        <f t="shared" si="49"/>
        <v>0</v>
      </c>
      <c r="O192" s="50">
        <f t="shared" si="49"/>
        <v>1931140</v>
      </c>
      <c r="P192" s="263"/>
      <c r="Q192" s="214"/>
      <c r="R192" s="214"/>
      <c r="S192" s="214"/>
      <c r="T192" s="214"/>
      <c r="U192" s="214"/>
      <c r="V192" s="214"/>
      <c r="W192" s="214"/>
      <c r="X192" s="214"/>
      <c r="Y192" s="214"/>
      <c r="Z192" s="214"/>
      <c r="AA192" s="214"/>
      <c r="AB192" s="214"/>
      <c r="AC192" s="214"/>
      <c r="AD192" s="214"/>
      <c r="AE192" s="214"/>
      <c r="AF192" s="214"/>
      <c r="AG192" s="214"/>
      <c r="AH192" s="214"/>
      <c r="AI192" s="214"/>
    </row>
    <row r="193" spans="1:35" s="22" customFormat="1" ht="36.75" customHeight="1">
      <c r="A193" s="27" t="s">
        <v>17</v>
      </c>
      <c r="B193" s="27" t="s">
        <v>136</v>
      </c>
      <c r="C193" s="13" t="s">
        <v>469</v>
      </c>
      <c r="D193" s="49">
        <f>'дод. 3'!E55</f>
        <v>408930</v>
      </c>
      <c r="E193" s="49">
        <f>'дод. 3'!F55</f>
        <v>408930</v>
      </c>
      <c r="F193" s="49">
        <f>'дод. 3'!G55</f>
        <v>0</v>
      </c>
      <c r="G193" s="49">
        <f>'дод. 3'!H55</f>
        <v>5070</v>
      </c>
      <c r="H193" s="49">
        <f>'дод. 3'!I55</f>
        <v>0</v>
      </c>
      <c r="I193" s="49">
        <f>'дод. 3'!J55</f>
        <v>0</v>
      </c>
      <c r="J193" s="49">
        <f>'дод. 3'!K55</f>
        <v>0</v>
      </c>
      <c r="K193" s="49">
        <f>'дод. 3'!L55</f>
        <v>0</v>
      </c>
      <c r="L193" s="49">
        <f>'дод. 3'!M55</f>
        <v>0</v>
      </c>
      <c r="M193" s="49">
        <f>'дод. 3'!N55</f>
        <v>0</v>
      </c>
      <c r="N193" s="49">
        <f>'дод. 3'!O55</f>
        <v>0</v>
      </c>
      <c r="O193" s="49">
        <f>'дод. 3'!P55</f>
        <v>408930</v>
      </c>
      <c r="P193" s="263"/>
      <c r="Q193" s="210"/>
      <c r="R193" s="210"/>
      <c r="S193" s="210"/>
      <c r="T193" s="210"/>
      <c r="U193" s="210"/>
      <c r="V193" s="210"/>
      <c r="W193" s="210"/>
      <c r="X193" s="210"/>
      <c r="Y193" s="210"/>
      <c r="Z193" s="210"/>
      <c r="AA193" s="210"/>
      <c r="AB193" s="210"/>
      <c r="AC193" s="210"/>
      <c r="AD193" s="210"/>
      <c r="AE193" s="210"/>
      <c r="AF193" s="210"/>
      <c r="AG193" s="210"/>
      <c r="AH193" s="210"/>
      <c r="AI193" s="210"/>
    </row>
    <row r="194" spans="1:35" ht="24.75" customHeight="1">
      <c r="A194" s="5" t="s">
        <v>236</v>
      </c>
      <c r="B194" s="12" t="s">
        <v>136</v>
      </c>
      <c r="C194" s="13" t="s">
        <v>18</v>
      </c>
      <c r="D194" s="49">
        <f>'дод. 3'!E56</f>
        <v>1517110</v>
      </c>
      <c r="E194" s="49">
        <f>'дод. 3'!F56</f>
        <v>1517110</v>
      </c>
      <c r="F194" s="49">
        <f>'дод. 3'!G56</f>
        <v>1087750</v>
      </c>
      <c r="G194" s="49">
        <f>'дод. 3'!H56</f>
        <v>76315</v>
      </c>
      <c r="H194" s="49">
        <f>'дод. 3'!I56</f>
        <v>0</v>
      </c>
      <c r="I194" s="49">
        <f>'дод. 3'!J56</f>
        <v>5100</v>
      </c>
      <c r="J194" s="49">
        <f>'дод. 3'!K56</f>
        <v>5100</v>
      </c>
      <c r="K194" s="49">
        <f>'дод. 3'!L56</f>
        <v>0</v>
      </c>
      <c r="L194" s="49">
        <f>'дод. 3'!M56</f>
        <v>1200</v>
      </c>
      <c r="M194" s="49">
        <f>'дод. 3'!N56</f>
        <v>0</v>
      </c>
      <c r="N194" s="49">
        <f>'дод. 3'!O56</f>
        <v>0</v>
      </c>
      <c r="O194" s="49">
        <f>'дод. 3'!P56</f>
        <v>1522210</v>
      </c>
      <c r="P194" s="263"/>
      <c r="Q194" s="210"/>
      <c r="R194" s="210"/>
      <c r="S194" s="210"/>
      <c r="T194" s="210"/>
      <c r="U194" s="210"/>
      <c r="V194" s="210"/>
      <c r="W194" s="210"/>
      <c r="X194" s="210"/>
      <c r="Y194" s="210"/>
      <c r="Z194" s="210"/>
      <c r="AA194" s="210"/>
      <c r="AB194" s="210"/>
      <c r="AC194" s="210"/>
      <c r="AD194" s="210"/>
      <c r="AE194" s="210"/>
      <c r="AF194" s="210"/>
      <c r="AG194" s="210"/>
      <c r="AH194" s="210"/>
      <c r="AI194" s="210"/>
    </row>
    <row r="195" spans="1:35" s="22" customFormat="1" ht="30" customHeight="1">
      <c r="A195" s="23" t="s">
        <v>394</v>
      </c>
      <c r="B195" s="23"/>
      <c r="C195" s="55" t="s">
        <v>395</v>
      </c>
      <c r="D195" s="50">
        <f aca="true" t="shared" si="50" ref="D195:O195">D196</f>
        <v>391300</v>
      </c>
      <c r="E195" s="50">
        <f t="shared" si="50"/>
        <v>391300</v>
      </c>
      <c r="F195" s="50">
        <f t="shared" si="50"/>
        <v>0</v>
      </c>
      <c r="G195" s="50">
        <f t="shared" si="50"/>
        <v>222241</v>
      </c>
      <c r="H195" s="50">
        <f t="shared" si="50"/>
        <v>0</v>
      </c>
      <c r="I195" s="50">
        <f t="shared" si="50"/>
        <v>0</v>
      </c>
      <c r="J195" s="50">
        <f t="shared" si="50"/>
        <v>0</v>
      </c>
      <c r="K195" s="50">
        <f t="shared" si="50"/>
        <v>0</v>
      </c>
      <c r="L195" s="50">
        <f t="shared" si="50"/>
        <v>0</v>
      </c>
      <c r="M195" s="50">
        <f t="shared" si="50"/>
        <v>0</v>
      </c>
      <c r="N195" s="50">
        <f t="shared" si="50"/>
        <v>0</v>
      </c>
      <c r="O195" s="50">
        <f t="shared" si="50"/>
        <v>391300</v>
      </c>
      <c r="P195" s="263"/>
      <c r="Q195" s="214"/>
      <c r="R195" s="214"/>
      <c r="S195" s="214"/>
      <c r="T195" s="214"/>
      <c r="U195" s="214"/>
      <c r="V195" s="214"/>
      <c r="W195" s="214"/>
      <c r="X195" s="214"/>
      <c r="Y195" s="214"/>
      <c r="Z195" s="214"/>
      <c r="AA195" s="214"/>
      <c r="AB195" s="214"/>
      <c r="AC195" s="214"/>
      <c r="AD195" s="214"/>
      <c r="AE195" s="214"/>
      <c r="AF195" s="214"/>
      <c r="AG195" s="214"/>
      <c r="AH195" s="214"/>
      <c r="AI195" s="214"/>
    </row>
    <row r="196" spans="1:35" ht="30" customHeight="1">
      <c r="A196" s="5" t="s">
        <v>388</v>
      </c>
      <c r="B196" s="12" t="s">
        <v>389</v>
      </c>
      <c r="C196" s="13" t="s">
        <v>390</v>
      </c>
      <c r="D196" s="49">
        <f>'дод. 3'!E57</f>
        <v>391300</v>
      </c>
      <c r="E196" s="49">
        <f>'дод. 3'!F57</f>
        <v>391300</v>
      </c>
      <c r="F196" s="49">
        <f>'дод. 3'!G57</f>
        <v>0</v>
      </c>
      <c r="G196" s="49">
        <f>'дод. 3'!H57</f>
        <v>222241</v>
      </c>
      <c r="H196" s="49">
        <f>'дод. 3'!I57</f>
        <v>0</v>
      </c>
      <c r="I196" s="49">
        <f>'дод. 3'!J57</f>
        <v>0</v>
      </c>
      <c r="J196" s="49">
        <f>'дод. 3'!K57</f>
        <v>0</v>
      </c>
      <c r="K196" s="49">
        <f>'дод. 3'!L57</f>
        <v>0</v>
      </c>
      <c r="L196" s="49">
        <f>'дод. 3'!M57</f>
        <v>0</v>
      </c>
      <c r="M196" s="49">
        <f>'дод. 3'!N57</f>
        <v>0</v>
      </c>
      <c r="N196" s="49">
        <f>'дод. 3'!O57</f>
        <v>0</v>
      </c>
      <c r="O196" s="49">
        <f>'дод. 3'!P57</f>
        <v>391300</v>
      </c>
      <c r="P196" s="263"/>
      <c r="Q196" s="210"/>
      <c r="R196" s="210"/>
      <c r="S196" s="210"/>
      <c r="T196" s="210"/>
      <c r="U196" s="210"/>
      <c r="V196" s="210"/>
      <c r="W196" s="210"/>
      <c r="X196" s="210"/>
      <c r="Y196" s="210"/>
      <c r="Z196" s="210"/>
      <c r="AA196" s="210"/>
      <c r="AB196" s="210"/>
      <c r="AC196" s="210"/>
      <c r="AD196" s="210"/>
      <c r="AE196" s="210"/>
      <c r="AF196" s="210"/>
      <c r="AG196" s="210"/>
      <c r="AH196" s="210"/>
      <c r="AI196" s="210"/>
    </row>
    <row r="197" spans="1:35" s="22" customFormat="1" ht="22.5" customHeight="1">
      <c r="A197" s="23" t="s">
        <v>14</v>
      </c>
      <c r="B197" s="35"/>
      <c r="C197" s="11" t="s">
        <v>19</v>
      </c>
      <c r="D197" s="50">
        <f>D198+D199</f>
        <v>76600</v>
      </c>
      <c r="E197" s="50">
        <f aca="true" t="shared" si="51" ref="E197:O197">E198+E199</f>
        <v>76600</v>
      </c>
      <c r="F197" s="50">
        <f t="shared" si="51"/>
        <v>0</v>
      </c>
      <c r="G197" s="50">
        <f t="shared" si="51"/>
        <v>0</v>
      </c>
      <c r="H197" s="50">
        <f t="shared" si="51"/>
        <v>0</v>
      </c>
      <c r="I197" s="50">
        <f t="shared" si="51"/>
        <v>3780000</v>
      </c>
      <c r="J197" s="50">
        <f t="shared" si="51"/>
        <v>2193000</v>
      </c>
      <c r="K197" s="50">
        <f t="shared" si="51"/>
        <v>0</v>
      </c>
      <c r="L197" s="50">
        <f t="shared" si="51"/>
        <v>0</v>
      </c>
      <c r="M197" s="50">
        <f t="shared" si="51"/>
        <v>1587000</v>
      </c>
      <c r="N197" s="50">
        <f t="shared" si="51"/>
        <v>0</v>
      </c>
      <c r="O197" s="50">
        <f t="shared" si="51"/>
        <v>3856600</v>
      </c>
      <c r="P197" s="263"/>
      <c r="Q197" s="214"/>
      <c r="R197" s="214"/>
      <c r="S197" s="214"/>
      <c r="T197" s="214"/>
      <c r="U197" s="214"/>
      <c r="V197" s="214"/>
      <c r="W197" s="214"/>
      <c r="X197" s="214"/>
      <c r="Y197" s="214"/>
      <c r="Z197" s="214"/>
      <c r="AA197" s="214"/>
      <c r="AB197" s="214"/>
      <c r="AC197" s="214"/>
      <c r="AD197" s="214"/>
      <c r="AE197" s="214"/>
      <c r="AF197" s="214"/>
      <c r="AG197" s="214"/>
      <c r="AH197" s="214"/>
      <c r="AI197" s="214"/>
    </row>
    <row r="198" spans="1:35" s="22" customFormat="1" ht="26.25" customHeight="1">
      <c r="A198" s="5" t="s">
        <v>20</v>
      </c>
      <c r="B198" s="5" t="s">
        <v>135</v>
      </c>
      <c r="C198" s="13" t="s">
        <v>35</v>
      </c>
      <c r="D198" s="49">
        <f>'дод. 3'!E218</f>
        <v>76600</v>
      </c>
      <c r="E198" s="49">
        <f>'дод. 3'!F218</f>
        <v>76600</v>
      </c>
      <c r="F198" s="49">
        <f>'дод. 3'!G218</f>
        <v>0</v>
      </c>
      <c r="G198" s="49">
        <f>'дод. 3'!H218</f>
        <v>0</v>
      </c>
      <c r="H198" s="49">
        <f>'дод. 3'!I218</f>
        <v>0</v>
      </c>
      <c r="I198" s="49">
        <f>'дод. 3'!J218</f>
        <v>0</v>
      </c>
      <c r="J198" s="49">
        <f>'дод. 3'!K218</f>
        <v>0</v>
      </c>
      <c r="K198" s="49">
        <f>'дод. 3'!L218</f>
        <v>0</v>
      </c>
      <c r="L198" s="49">
        <f>'дод. 3'!M218</f>
        <v>0</v>
      </c>
      <c r="M198" s="49">
        <f>'дод. 3'!N218</f>
        <v>0</v>
      </c>
      <c r="N198" s="49">
        <f>'дод. 3'!O218</f>
        <v>0</v>
      </c>
      <c r="O198" s="49">
        <f>'дод. 3'!P218</f>
        <v>76600</v>
      </c>
      <c r="P198" s="263"/>
      <c r="Q198" s="210"/>
      <c r="R198" s="210"/>
      <c r="S198" s="210"/>
      <c r="T198" s="210"/>
      <c r="U198" s="210"/>
      <c r="V198" s="210"/>
      <c r="W198" s="210"/>
      <c r="X198" s="210"/>
      <c r="Y198" s="210"/>
      <c r="Z198" s="210"/>
      <c r="AA198" s="210"/>
      <c r="AB198" s="210"/>
      <c r="AC198" s="210"/>
      <c r="AD198" s="210"/>
      <c r="AE198" s="210"/>
      <c r="AF198" s="210"/>
      <c r="AG198" s="210"/>
      <c r="AH198" s="210"/>
      <c r="AI198" s="210"/>
    </row>
    <row r="199" spans="1:35" s="22" customFormat="1" ht="21" customHeight="1">
      <c r="A199" s="5" t="s">
        <v>21</v>
      </c>
      <c r="B199" s="5" t="s">
        <v>139</v>
      </c>
      <c r="C199" s="13" t="s">
        <v>22</v>
      </c>
      <c r="D199" s="49">
        <f>'дод. 3'!E84+'дод. 3'!E266+'дод. 3'!E58+'дод. 3'!E219</f>
        <v>0</v>
      </c>
      <c r="E199" s="49">
        <f>'дод. 3'!F84+'дод. 3'!F266+'дод. 3'!F58+'дод. 3'!F219</f>
        <v>0</v>
      </c>
      <c r="F199" s="49">
        <f>'дод. 3'!G84+'дод. 3'!G266+'дод. 3'!G58+'дод. 3'!G219</f>
        <v>0</v>
      </c>
      <c r="G199" s="49">
        <f>'дод. 3'!H84+'дод. 3'!H266+'дод. 3'!H58+'дод. 3'!H219</f>
        <v>0</v>
      </c>
      <c r="H199" s="49">
        <f>'дод. 3'!I84+'дод. 3'!I266+'дод. 3'!I58+'дод. 3'!I219</f>
        <v>0</v>
      </c>
      <c r="I199" s="49">
        <f>'дод. 3'!J84+'дод. 3'!J266+'дод. 3'!J58+'дод. 3'!J219</f>
        <v>3780000</v>
      </c>
      <c r="J199" s="49">
        <f>'дод. 3'!K84+'дод. 3'!K266+'дод. 3'!K58+'дод. 3'!K219</f>
        <v>2193000</v>
      </c>
      <c r="K199" s="49">
        <f>'дод. 3'!L84+'дод. 3'!L266+'дод. 3'!L58+'дод. 3'!L219</f>
        <v>0</v>
      </c>
      <c r="L199" s="49">
        <f>'дод. 3'!M84+'дод. 3'!M266+'дод. 3'!M58+'дод. 3'!M219</f>
        <v>0</v>
      </c>
      <c r="M199" s="49">
        <f>'дод. 3'!N84+'дод. 3'!N266+'дод. 3'!N58+'дод. 3'!N219</f>
        <v>1587000</v>
      </c>
      <c r="N199" s="49">
        <f>'дод. 3'!O84+'дод. 3'!O266+'дод. 3'!O58+'дод. 3'!O219</f>
        <v>0</v>
      </c>
      <c r="O199" s="49">
        <f>'дод. 3'!P84+'дод. 3'!P266+'дод. 3'!P58+'дод. 3'!P219</f>
        <v>3780000</v>
      </c>
      <c r="P199" s="263"/>
      <c r="Q199" s="210"/>
      <c r="R199" s="210"/>
      <c r="S199" s="210"/>
      <c r="T199" s="210"/>
      <c r="U199" s="210"/>
      <c r="V199" s="210"/>
      <c r="W199" s="210"/>
      <c r="X199" s="210"/>
      <c r="Y199" s="210"/>
      <c r="Z199" s="210"/>
      <c r="AA199" s="210"/>
      <c r="AB199" s="210"/>
      <c r="AC199" s="210"/>
      <c r="AD199" s="210"/>
      <c r="AE199" s="210"/>
      <c r="AF199" s="210"/>
      <c r="AG199" s="210"/>
      <c r="AH199" s="210"/>
      <c r="AI199" s="210"/>
    </row>
    <row r="200" spans="1:35" s="22" customFormat="1" ht="26.25" customHeight="1">
      <c r="A200" s="23" t="s">
        <v>211</v>
      </c>
      <c r="B200" s="35"/>
      <c r="C200" s="11" t="s">
        <v>117</v>
      </c>
      <c r="D200" s="50">
        <f aca="true" t="shared" si="52" ref="D200:O200">D201</f>
        <v>164000</v>
      </c>
      <c r="E200" s="50">
        <f t="shared" si="52"/>
        <v>164000</v>
      </c>
      <c r="F200" s="50">
        <f t="shared" si="52"/>
        <v>0</v>
      </c>
      <c r="G200" s="50">
        <f t="shared" si="52"/>
        <v>0</v>
      </c>
      <c r="H200" s="50">
        <f t="shared" si="52"/>
        <v>0</v>
      </c>
      <c r="I200" s="50">
        <f t="shared" si="52"/>
        <v>0</v>
      </c>
      <c r="J200" s="50">
        <f t="shared" si="52"/>
        <v>0</v>
      </c>
      <c r="K200" s="50">
        <f t="shared" si="52"/>
        <v>0</v>
      </c>
      <c r="L200" s="50">
        <f t="shared" si="52"/>
        <v>0</v>
      </c>
      <c r="M200" s="50">
        <f t="shared" si="52"/>
        <v>0</v>
      </c>
      <c r="N200" s="50">
        <f t="shared" si="52"/>
        <v>0</v>
      </c>
      <c r="O200" s="50">
        <f t="shared" si="52"/>
        <v>164000</v>
      </c>
      <c r="P200" s="263"/>
      <c r="Q200" s="214"/>
      <c r="R200" s="214"/>
      <c r="S200" s="214"/>
      <c r="T200" s="214"/>
      <c r="U200" s="214"/>
      <c r="V200" s="214"/>
      <c r="W200" s="214"/>
      <c r="X200" s="214"/>
      <c r="Y200" s="214"/>
      <c r="Z200" s="214"/>
      <c r="AA200" s="214"/>
      <c r="AB200" s="214"/>
      <c r="AC200" s="214"/>
      <c r="AD200" s="214"/>
      <c r="AE200" s="214"/>
      <c r="AF200" s="214"/>
      <c r="AG200" s="214"/>
      <c r="AH200" s="214"/>
      <c r="AI200" s="214"/>
    </row>
    <row r="201" spans="1:35" s="22" customFormat="1" ht="25.5" customHeight="1">
      <c r="A201" s="5" t="s">
        <v>399</v>
      </c>
      <c r="B201" s="12" t="s">
        <v>118</v>
      </c>
      <c r="C201" s="13" t="s">
        <v>400</v>
      </c>
      <c r="D201" s="49">
        <f>'дод. 3'!E59</f>
        <v>164000</v>
      </c>
      <c r="E201" s="49">
        <f>'дод. 3'!F59</f>
        <v>164000</v>
      </c>
      <c r="F201" s="49">
        <f>'дод. 3'!G59</f>
        <v>0</v>
      </c>
      <c r="G201" s="49">
        <f>'дод. 3'!H59</f>
        <v>0</v>
      </c>
      <c r="H201" s="49">
        <f>'дод. 3'!I59</f>
        <v>0</v>
      </c>
      <c r="I201" s="49">
        <f>'дод. 3'!J59</f>
        <v>0</v>
      </c>
      <c r="J201" s="49">
        <f>'дод. 3'!K59</f>
        <v>0</v>
      </c>
      <c r="K201" s="49">
        <f>'дод. 3'!L59</f>
        <v>0</v>
      </c>
      <c r="L201" s="49">
        <f>'дод. 3'!M59</f>
        <v>0</v>
      </c>
      <c r="M201" s="49">
        <f>'дод. 3'!N59</f>
        <v>0</v>
      </c>
      <c r="N201" s="49">
        <f>'дод. 3'!O59</f>
        <v>0</v>
      </c>
      <c r="O201" s="49">
        <f>'дод. 3'!P59</f>
        <v>164000</v>
      </c>
      <c r="P201" s="263"/>
      <c r="Q201" s="210"/>
      <c r="R201" s="210"/>
      <c r="S201" s="210"/>
      <c r="T201" s="210"/>
      <c r="U201" s="210"/>
      <c r="V201" s="210"/>
      <c r="W201" s="210"/>
      <c r="X201" s="210"/>
      <c r="Y201" s="210"/>
      <c r="Z201" s="210"/>
      <c r="AA201" s="210"/>
      <c r="AB201" s="210"/>
      <c r="AC201" s="210"/>
      <c r="AD201" s="210"/>
      <c r="AE201" s="210"/>
      <c r="AF201" s="210"/>
      <c r="AG201" s="210"/>
      <c r="AH201" s="210"/>
      <c r="AI201" s="210"/>
    </row>
    <row r="202" spans="1:35" s="22" customFormat="1" ht="26.25" customHeight="1">
      <c r="A202" s="23" t="s">
        <v>142</v>
      </c>
      <c r="B202" s="23" t="s">
        <v>137</v>
      </c>
      <c r="C202" s="11" t="s">
        <v>23</v>
      </c>
      <c r="D202" s="50">
        <f>'дод. 3'!E267</f>
        <v>177952.41</v>
      </c>
      <c r="E202" s="50">
        <f>'дод. 3'!F267</f>
        <v>177952.41</v>
      </c>
      <c r="F202" s="50">
        <f>'дод. 3'!G267</f>
        <v>0</v>
      </c>
      <c r="G202" s="50">
        <f>'дод. 3'!H267</f>
        <v>0</v>
      </c>
      <c r="H202" s="50">
        <f>'дод. 3'!I267</f>
        <v>0</v>
      </c>
      <c r="I202" s="50">
        <f>'дод. 3'!J267</f>
        <v>0</v>
      </c>
      <c r="J202" s="50">
        <f>'дод. 3'!K267</f>
        <v>0</v>
      </c>
      <c r="K202" s="50">
        <f>'дод. 3'!L267</f>
        <v>0</v>
      </c>
      <c r="L202" s="50">
        <f>'дод. 3'!M267</f>
        <v>0</v>
      </c>
      <c r="M202" s="50">
        <f>'дод. 3'!N267</f>
        <v>0</v>
      </c>
      <c r="N202" s="50">
        <f>'дод. 3'!O267</f>
        <v>0</v>
      </c>
      <c r="O202" s="50">
        <f>'дод. 3'!P267</f>
        <v>177952.41</v>
      </c>
      <c r="P202" s="263"/>
      <c r="Q202" s="214"/>
      <c r="R202" s="214"/>
      <c r="S202" s="214"/>
      <c r="T202" s="214"/>
      <c r="U202" s="214"/>
      <c r="V202" s="214"/>
      <c r="W202" s="214"/>
      <c r="X202" s="214"/>
      <c r="Y202" s="214"/>
      <c r="Z202" s="214"/>
      <c r="AA202" s="214"/>
      <c r="AB202" s="214"/>
      <c r="AC202" s="214"/>
      <c r="AD202" s="214"/>
      <c r="AE202" s="214"/>
      <c r="AF202" s="214"/>
      <c r="AG202" s="214"/>
      <c r="AH202" s="214"/>
      <c r="AI202" s="214"/>
    </row>
    <row r="203" spans="1:35" s="22" customFormat="1" ht="26.25" customHeight="1">
      <c r="A203" s="23" t="s">
        <v>24</v>
      </c>
      <c r="B203" s="23" t="s">
        <v>140</v>
      </c>
      <c r="C203" s="11" t="s">
        <v>38</v>
      </c>
      <c r="D203" s="50">
        <f>'дод. 3'!E268</f>
        <v>5202682.56</v>
      </c>
      <c r="E203" s="50">
        <f>'дод. 3'!F268</f>
        <v>0</v>
      </c>
      <c r="F203" s="50">
        <f>'дод. 3'!G268</f>
        <v>0</v>
      </c>
      <c r="G203" s="50">
        <f>'дод. 3'!H268</f>
        <v>0</v>
      </c>
      <c r="H203" s="50">
        <f>'дод. 3'!I268</f>
        <v>0</v>
      </c>
      <c r="I203" s="50">
        <f>'дод. 3'!J268</f>
        <v>0</v>
      </c>
      <c r="J203" s="50">
        <f>'дод. 3'!K268</f>
        <v>0</v>
      </c>
      <c r="K203" s="50">
        <f>'дод. 3'!L268</f>
        <v>0</v>
      </c>
      <c r="L203" s="50">
        <f>'дод. 3'!M268</f>
        <v>0</v>
      </c>
      <c r="M203" s="50">
        <f>'дод. 3'!N268</f>
        <v>0</v>
      </c>
      <c r="N203" s="50">
        <f>'дод. 3'!O268</f>
        <v>0</v>
      </c>
      <c r="O203" s="50">
        <f>'дод. 3'!P268</f>
        <v>5202682.56</v>
      </c>
      <c r="P203" s="263"/>
      <c r="Q203" s="214"/>
      <c r="R203" s="214"/>
      <c r="S203" s="214"/>
      <c r="T203" s="214"/>
      <c r="U203" s="214"/>
      <c r="V203" s="214"/>
      <c r="W203" s="214"/>
      <c r="X203" s="214"/>
      <c r="Y203" s="214"/>
      <c r="Z203" s="214"/>
      <c r="AA203" s="214"/>
      <c r="AB203" s="214"/>
      <c r="AC203" s="214"/>
      <c r="AD203" s="214"/>
      <c r="AE203" s="214"/>
      <c r="AF203" s="214"/>
      <c r="AG203" s="214"/>
      <c r="AH203" s="214"/>
      <c r="AI203" s="214"/>
    </row>
    <row r="204" spans="1:35" s="22" customFormat="1" ht="27.75" customHeight="1">
      <c r="A204" s="23" t="s">
        <v>25</v>
      </c>
      <c r="B204" s="23"/>
      <c r="C204" s="11" t="s">
        <v>164</v>
      </c>
      <c r="D204" s="50">
        <f>D205+D207</f>
        <v>88670600</v>
      </c>
      <c r="E204" s="50">
        <f aca="true" t="shared" si="53" ref="E204:O204">E205+E207</f>
        <v>88670600</v>
      </c>
      <c r="F204" s="50">
        <f t="shared" si="53"/>
        <v>0</v>
      </c>
      <c r="G204" s="50">
        <f t="shared" si="53"/>
        <v>0</v>
      </c>
      <c r="H204" s="50">
        <f t="shared" si="53"/>
        <v>0</v>
      </c>
      <c r="I204" s="50">
        <f t="shared" si="53"/>
        <v>1720000</v>
      </c>
      <c r="J204" s="50">
        <f t="shared" si="53"/>
        <v>0</v>
      </c>
      <c r="K204" s="50">
        <f t="shared" si="53"/>
        <v>0</v>
      </c>
      <c r="L204" s="50">
        <f t="shared" si="53"/>
        <v>0</v>
      </c>
      <c r="M204" s="50">
        <f t="shared" si="53"/>
        <v>1720000</v>
      </c>
      <c r="N204" s="50">
        <f t="shared" si="53"/>
        <v>1720000</v>
      </c>
      <c r="O204" s="50">
        <f t="shared" si="53"/>
        <v>90390600</v>
      </c>
      <c r="P204" s="263"/>
      <c r="Q204" s="214"/>
      <c r="R204" s="214"/>
      <c r="S204" s="214"/>
      <c r="T204" s="214"/>
      <c r="U204" s="214"/>
      <c r="V204" s="214"/>
      <c r="W204" s="214"/>
      <c r="X204" s="214"/>
      <c r="Y204" s="214"/>
      <c r="Z204" s="214"/>
      <c r="AA204" s="214"/>
      <c r="AB204" s="214"/>
      <c r="AC204" s="214"/>
      <c r="AD204" s="214"/>
      <c r="AE204" s="214"/>
      <c r="AF204" s="214"/>
      <c r="AG204" s="214"/>
      <c r="AH204" s="214"/>
      <c r="AI204" s="214"/>
    </row>
    <row r="205" spans="1:35" s="22" customFormat="1" ht="27.75" customHeight="1">
      <c r="A205" s="23" t="s">
        <v>397</v>
      </c>
      <c r="B205" s="23"/>
      <c r="C205" s="11" t="s">
        <v>470</v>
      </c>
      <c r="D205" s="50">
        <f aca="true" t="shared" si="54" ref="D205:O205">D206</f>
        <v>87299600</v>
      </c>
      <c r="E205" s="50">
        <f t="shared" si="54"/>
        <v>87299600</v>
      </c>
      <c r="F205" s="50">
        <f t="shared" si="54"/>
        <v>0</v>
      </c>
      <c r="G205" s="50">
        <f t="shared" si="54"/>
        <v>0</v>
      </c>
      <c r="H205" s="50">
        <f t="shared" si="54"/>
        <v>0</v>
      </c>
      <c r="I205" s="50">
        <f t="shared" si="54"/>
        <v>0</v>
      </c>
      <c r="J205" s="50">
        <f t="shared" si="54"/>
        <v>0</v>
      </c>
      <c r="K205" s="50">
        <f t="shared" si="54"/>
        <v>0</v>
      </c>
      <c r="L205" s="50">
        <f t="shared" si="54"/>
        <v>0</v>
      </c>
      <c r="M205" s="50">
        <f t="shared" si="54"/>
        <v>0</v>
      </c>
      <c r="N205" s="50">
        <f t="shared" si="54"/>
        <v>0</v>
      </c>
      <c r="O205" s="50">
        <f t="shared" si="54"/>
        <v>87299600</v>
      </c>
      <c r="P205" s="263"/>
      <c r="Q205" s="214"/>
      <c r="R205" s="214"/>
      <c r="S205" s="214"/>
      <c r="T205" s="214"/>
      <c r="U205" s="214"/>
      <c r="V205" s="214"/>
      <c r="W205" s="214"/>
      <c r="X205" s="214"/>
      <c r="Y205" s="214"/>
      <c r="Z205" s="214"/>
      <c r="AA205" s="214"/>
      <c r="AB205" s="214"/>
      <c r="AC205" s="214"/>
      <c r="AD205" s="214"/>
      <c r="AE205" s="214"/>
      <c r="AF205" s="214"/>
      <c r="AG205" s="214"/>
      <c r="AH205" s="214"/>
      <c r="AI205" s="214"/>
    </row>
    <row r="206" spans="1:35" s="22" customFormat="1" ht="21.75" customHeight="1">
      <c r="A206" s="5" t="s">
        <v>138</v>
      </c>
      <c r="B206" s="12" t="s">
        <v>78</v>
      </c>
      <c r="C206" s="13" t="s">
        <v>162</v>
      </c>
      <c r="D206" s="49">
        <f>'дод. 3'!E269</f>
        <v>87299600</v>
      </c>
      <c r="E206" s="49">
        <f>'дод. 3'!F269</f>
        <v>87299600</v>
      </c>
      <c r="F206" s="49">
        <f>'дод. 3'!G269</f>
        <v>0</v>
      </c>
      <c r="G206" s="49">
        <f>'дод. 3'!H269</f>
        <v>0</v>
      </c>
      <c r="H206" s="49">
        <f>'дод. 3'!I269</f>
        <v>0</v>
      </c>
      <c r="I206" s="49">
        <f>'дод. 3'!J269</f>
        <v>0</v>
      </c>
      <c r="J206" s="49">
        <f>'дод. 3'!K269</f>
        <v>0</v>
      </c>
      <c r="K206" s="49">
        <f>'дод. 3'!L269</f>
        <v>0</v>
      </c>
      <c r="L206" s="49">
        <f>'дод. 3'!M269</f>
        <v>0</v>
      </c>
      <c r="M206" s="49">
        <f>'дод. 3'!N269</f>
        <v>0</v>
      </c>
      <c r="N206" s="49">
        <f>'дод. 3'!O269</f>
        <v>0</v>
      </c>
      <c r="O206" s="49">
        <f>'дод. 3'!P269</f>
        <v>87299600</v>
      </c>
      <c r="P206" s="263"/>
      <c r="Q206" s="210"/>
      <c r="R206" s="210"/>
      <c r="S206" s="210"/>
      <c r="T206" s="210"/>
      <c r="U206" s="210"/>
      <c r="V206" s="210"/>
      <c r="W206" s="210"/>
      <c r="X206" s="210"/>
      <c r="Y206" s="210"/>
      <c r="Z206" s="210"/>
      <c r="AA206" s="210"/>
      <c r="AB206" s="210"/>
      <c r="AC206" s="210"/>
      <c r="AD206" s="210"/>
      <c r="AE206" s="210"/>
      <c r="AF206" s="210"/>
      <c r="AG206" s="210"/>
      <c r="AH206" s="210"/>
      <c r="AI206" s="210"/>
    </row>
    <row r="207" spans="1:35" s="22" customFormat="1" ht="57" customHeight="1">
      <c r="A207" s="23" t="s">
        <v>26</v>
      </c>
      <c r="B207" s="10"/>
      <c r="C207" s="11" t="s">
        <v>27</v>
      </c>
      <c r="D207" s="50">
        <f aca="true" t="shared" si="55" ref="D207:O207">D208</f>
        <v>1371000</v>
      </c>
      <c r="E207" s="50">
        <f t="shared" si="55"/>
        <v>1371000</v>
      </c>
      <c r="F207" s="50">
        <f t="shared" si="55"/>
        <v>0</v>
      </c>
      <c r="G207" s="50">
        <f t="shared" si="55"/>
        <v>0</v>
      </c>
      <c r="H207" s="50">
        <f t="shared" si="55"/>
        <v>0</v>
      </c>
      <c r="I207" s="50">
        <f t="shared" si="55"/>
        <v>1720000</v>
      </c>
      <c r="J207" s="50">
        <f t="shared" si="55"/>
        <v>0</v>
      </c>
      <c r="K207" s="50">
        <f t="shared" si="55"/>
        <v>0</v>
      </c>
      <c r="L207" s="50">
        <f t="shared" si="55"/>
        <v>0</v>
      </c>
      <c r="M207" s="50">
        <f t="shared" si="55"/>
        <v>1720000</v>
      </c>
      <c r="N207" s="50">
        <f t="shared" si="55"/>
        <v>1720000</v>
      </c>
      <c r="O207" s="50">
        <f t="shared" si="55"/>
        <v>3091000</v>
      </c>
      <c r="P207" s="263"/>
      <c r="Q207" s="214"/>
      <c r="R207" s="214"/>
      <c r="S207" s="214"/>
      <c r="T207" s="214"/>
      <c r="U207" s="214"/>
      <c r="V207" s="214"/>
      <c r="W207" s="214"/>
      <c r="X207" s="214"/>
      <c r="Y207" s="214"/>
      <c r="Z207" s="214"/>
      <c r="AA207" s="214"/>
      <c r="AB207" s="214"/>
      <c r="AC207" s="214"/>
      <c r="AD207" s="214"/>
      <c r="AE207" s="214"/>
      <c r="AF207" s="214"/>
      <c r="AG207" s="214"/>
      <c r="AH207" s="214"/>
      <c r="AI207" s="214"/>
    </row>
    <row r="208" spans="1:35" s="22" customFormat="1" ht="33.75" customHeight="1">
      <c r="A208" s="5" t="s">
        <v>28</v>
      </c>
      <c r="B208" s="12" t="s">
        <v>78</v>
      </c>
      <c r="C208" s="18" t="s">
        <v>415</v>
      </c>
      <c r="D208" s="49">
        <f>'дод. 3'!E220+'дод. 3'!E185+'дод. 3'!E270</f>
        <v>1371000</v>
      </c>
      <c r="E208" s="49">
        <f>'дод. 3'!F220+'дод. 3'!F185+'дод. 3'!F270</f>
        <v>1371000</v>
      </c>
      <c r="F208" s="49">
        <f>'дод. 3'!G220+'дод. 3'!G185+'дод. 3'!G270</f>
        <v>0</v>
      </c>
      <c r="G208" s="49">
        <f>'дод. 3'!H220+'дод. 3'!H185+'дод. 3'!H270</f>
        <v>0</v>
      </c>
      <c r="H208" s="49">
        <f>'дод. 3'!I220+'дод. 3'!I185+'дод. 3'!I270</f>
        <v>0</v>
      </c>
      <c r="I208" s="49">
        <f>'дод. 3'!J220+'дод. 3'!J185+'дод. 3'!J270</f>
        <v>1720000</v>
      </c>
      <c r="J208" s="49">
        <f>'дод. 3'!K220+'дод. 3'!K185+'дод. 3'!K270</f>
        <v>0</v>
      </c>
      <c r="K208" s="49">
        <f>'дод. 3'!L220+'дод. 3'!L185+'дод. 3'!L270</f>
        <v>0</v>
      </c>
      <c r="L208" s="49">
        <f>'дод. 3'!M220+'дод. 3'!M185+'дод. 3'!M270</f>
        <v>0</v>
      </c>
      <c r="M208" s="49">
        <f>'дод. 3'!N220+'дод. 3'!N185+'дод. 3'!N270</f>
        <v>1720000</v>
      </c>
      <c r="N208" s="49">
        <f>'дод. 3'!O220+'дод. 3'!O185+'дод. 3'!O270</f>
        <v>1720000</v>
      </c>
      <c r="O208" s="49">
        <f>'дод. 3'!P220+'дод. 3'!P185+'дод. 3'!P270</f>
        <v>3091000</v>
      </c>
      <c r="P208" s="263"/>
      <c r="Q208" s="212"/>
      <c r="R208" s="212"/>
      <c r="S208" s="212"/>
      <c r="T208" s="212"/>
      <c r="U208" s="212"/>
      <c r="V208" s="212"/>
      <c r="W208" s="212"/>
      <c r="X208" s="212"/>
      <c r="Y208" s="212"/>
      <c r="Z208" s="212"/>
      <c r="AA208" s="212"/>
      <c r="AB208" s="212"/>
      <c r="AC208" s="212"/>
      <c r="AD208" s="212"/>
      <c r="AE208" s="212"/>
      <c r="AF208" s="212"/>
      <c r="AG208" s="212"/>
      <c r="AH208" s="212"/>
      <c r="AI208" s="212"/>
    </row>
    <row r="209" spans="1:35" s="22" customFormat="1" ht="25.5" customHeight="1">
      <c r="A209" s="23"/>
      <c r="B209" s="23"/>
      <c r="C209" s="11" t="s">
        <v>39</v>
      </c>
      <c r="D209" s="50">
        <f aca="true" t="shared" si="56" ref="D209:O209">D13+D16+D33+D61+D134+D140+D150+D162+D164+D172+D179+D181+D192+D195+D197+D200+D202+D203+D205+D207</f>
        <v>2803372895.6699996</v>
      </c>
      <c r="E209" s="50">
        <f t="shared" si="56"/>
        <v>2765685741.41</v>
      </c>
      <c r="F209" s="50">
        <f t="shared" si="56"/>
        <v>663396378.1</v>
      </c>
      <c r="G209" s="50">
        <f t="shared" si="56"/>
        <v>95161855</v>
      </c>
      <c r="H209" s="50">
        <f t="shared" si="56"/>
        <v>32484471.7</v>
      </c>
      <c r="I209" s="50">
        <f t="shared" si="56"/>
        <v>476972023</v>
      </c>
      <c r="J209" s="50">
        <f t="shared" si="56"/>
        <v>72333808</v>
      </c>
      <c r="K209" s="50">
        <f t="shared" si="56"/>
        <v>6315206</v>
      </c>
      <c r="L209" s="50">
        <f t="shared" si="56"/>
        <v>2472134</v>
      </c>
      <c r="M209" s="50">
        <f t="shared" si="56"/>
        <v>404638215</v>
      </c>
      <c r="N209" s="50">
        <f t="shared" si="56"/>
        <v>401701795</v>
      </c>
      <c r="O209" s="50">
        <f t="shared" si="56"/>
        <v>3280344918.6699996</v>
      </c>
      <c r="P209" s="263"/>
      <c r="Q209" s="214"/>
      <c r="R209" s="214"/>
      <c r="S209" s="214"/>
      <c r="T209" s="214"/>
      <c r="U209" s="214"/>
      <c r="V209" s="214"/>
      <c r="W209" s="214"/>
      <c r="X209" s="214"/>
      <c r="Y209" s="214"/>
      <c r="Z209" s="214"/>
      <c r="AA209" s="214"/>
      <c r="AB209" s="214"/>
      <c r="AC209" s="214"/>
      <c r="AD209" s="214"/>
      <c r="AE209" s="214"/>
      <c r="AF209" s="214"/>
      <c r="AG209" s="214"/>
      <c r="AH209" s="214"/>
      <c r="AI209" s="214"/>
    </row>
    <row r="210" spans="1:35" s="22" customFormat="1" ht="25.5" customHeight="1">
      <c r="A210" s="62"/>
      <c r="B210" s="62"/>
      <c r="C210" s="11" t="s">
        <v>416</v>
      </c>
      <c r="D210" s="63">
        <f aca="true" t="shared" si="57" ref="D210:O210">D17+D34+D62</f>
        <v>1629008100</v>
      </c>
      <c r="E210" s="63">
        <f t="shared" si="57"/>
        <v>1629008100</v>
      </c>
      <c r="F210" s="63">
        <f t="shared" si="57"/>
        <v>212872900</v>
      </c>
      <c r="G210" s="63">
        <f t="shared" si="57"/>
        <v>0</v>
      </c>
      <c r="H210" s="63">
        <f t="shared" si="57"/>
        <v>0</v>
      </c>
      <c r="I210" s="63">
        <f t="shared" si="57"/>
        <v>0</v>
      </c>
      <c r="J210" s="63">
        <f t="shared" si="57"/>
        <v>0</v>
      </c>
      <c r="K210" s="63">
        <f t="shared" si="57"/>
        <v>0</v>
      </c>
      <c r="L210" s="63">
        <f t="shared" si="57"/>
        <v>0</v>
      </c>
      <c r="M210" s="63">
        <f t="shared" si="57"/>
        <v>0</v>
      </c>
      <c r="N210" s="63">
        <f t="shared" si="57"/>
        <v>0</v>
      </c>
      <c r="O210" s="63">
        <f t="shared" si="57"/>
        <v>1629008100</v>
      </c>
      <c r="P210" s="263"/>
      <c r="Q210" s="108"/>
      <c r="R210" s="108"/>
      <c r="S210" s="108"/>
      <c r="T210" s="108"/>
      <c r="U210" s="108"/>
      <c r="V210" s="108"/>
      <c r="W210" s="108"/>
      <c r="X210" s="108"/>
      <c r="Y210" s="108"/>
      <c r="Z210" s="108"/>
      <c r="AA210" s="108"/>
      <c r="AB210" s="108"/>
      <c r="AC210" s="108"/>
      <c r="AD210" s="108"/>
      <c r="AE210" s="108"/>
      <c r="AF210" s="108"/>
      <c r="AG210" s="108"/>
      <c r="AH210" s="108"/>
      <c r="AI210" s="108"/>
    </row>
    <row r="211" spans="1:35" s="22" customFormat="1" ht="25.5" customHeight="1">
      <c r="A211" s="106"/>
      <c r="B211" s="106"/>
      <c r="C211" s="107"/>
      <c r="D211" s="108"/>
      <c r="E211" s="108"/>
      <c r="F211" s="108"/>
      <c r="G211" s="108"/>
      <c r="H211" s="108"/>
      <c r="I211" s="108"/>
      <c r="J211" s="108"/>
      <c r="K211" s="108"/>
      <c r="L211" s="108"/>
      <c r="M211" s="108"/>
      <c r="N211" s="108"/>
      <c r="O211" s="108"/>
      <c r="P211" s="263"/>
      <c r="Q211" s="215"/>
      <c r="R211" s="215"/>
      <c r="S211" s="216"/>
      <c r="T211" s="216"/>
      <c r="U211" s="216"/>
      <c r="V211" s="216"/>
      <c r="W211" s="216"/>
      <c r="X211" s="216"/>
      <c r="Y211" s="216"/>
      <c r="Z211" s="216"/>
      <c r="AA211" s="216"/>
      <c r="AB211" s="216"/>
      <c r="AC211" s="216"/>
      <c r="AD211" s="216"/>
      <c r="AE211" s="216"/>
      <c r="AF211" s="216"/>
      <c r="AG211" s="216"/>
      <c r="AH211" s="216"/>
      <c r="AI211" s="217"/>
    </row>
    <row r="212" spans="1:35" s="22" customFormat="1" ht="25.5" customHeight="1">
      <c r="A212" s="106"/>
      <c r="B212" s="106"/>
      <c r="C212" s="107"/>
      <c r="D212" s="108"/>
      <c r="E212" s="108"/>
      <c r="F212" s="108"/>
      <c r="G212" s="108"/>
      <c r="H212" s="108"/>
      <c r="I212" s="108"/>
      <c r="J212" s="108"/>
      <c r="K212" s="108"/>
      <c r="L212" s="108"/>
      <c r="M212" s="108"/>
      <c r="N212" s="108"/>
      <c r="O212" s="108"/>
      <c r="P212" s="263"/>
      <c r="Q212" s="215"/>
      <c r="R212" s="215"/>
      <c r="S212" s="216"/>
      <c r="T212" s="216"/>
      <c r="U212" s="216"/>
      <c r="V212" s="216"/>
      <c r="W212" s="216"/>
      <c r="X212" s="216"/>
      <c r="Y212" s="216"/>
      <c r="Z212" s="216"/>
      <c r="AA212" s="216"/>
      <c r="AB212" s="216"/>
      <c r="AC212" s="216"/>
      <c r="AD212" s="216"/>
      <c r="AE212" s="216"/>
      <c r="AF212" s="216"/>
      <c r="AG212" s="216"/>
      <c r="AH212" s="216"/>
      <c r="AI212" s="217"/>
    </row>
    <row r="213" spans="1:17" s="197" customFormat="1" ht="61.5" customHeight="1">
      <c r="A213" s="256" t="s">
        <v>602</v>
      </c>
      <c r="B213" s="256"/>
      <c r="C213" s="256"/>
      <c r="D213" s="256"/>
      <c r="E213" s="236"/>
      <c r="F213" s="237"/>
      <c r="G213" s="237"/>
      <c r="H213" s="237"/>
      <c r="I213" s="237"/>
      <c r="J213" s="237"/>
      <c r="K213" s="237"/>
      <c r="L213" s="237"/>
      <c r="M213" s="259" t="s">
        <v>603</v>
      </c>
      <c r="N213" s="259"/>
      <c r="O213" s="237"/>
      <c r="P213" s="263"/>
      <c r="Q213" s="223"/>
    </row>
    <row r="214" spans="1:35" s="22" customFormat="1" ht="25.5" customHeight="1">
      <c r="A214" s="239"/>
      <c r="B214" s="236"/>
      <c r="C214" s="236"/>
      <c r="D214" s="236"/>
      <c r="E214" s="236"/>
      <c r="F214" s="236"/>
      <c r="G214" s="236"/>
      <c r="H214" s="236"/>
      <c r="I214" s="237"/>
      <c r="J214" s="237"/>
      <c r="K214" s="240"/>
      <c r="L214" s="237"/>
      <c r="M214" s="241"/>
      <c r="N214" s="241"/>
      <c r="O214" s="241"/>
      <c r="P214" s="231"/>
      <c r="Q214" s="215"/>
      <c r="R214" s="215"/>
      <c r="S214" s="216"/>
      <c r="T214" s="216"/>
      <c r="U214" s="216"/>
      <c r="V214" s="216"/>
      <c r="W214" s="216"/>
      <c r="X214" s="216"/>
      <c r="Y214" s="216"/>
      <c r="Z214" s="216"/>
      <c r="AA214" s="216"/>
      <c r="AB214" s="216"/>
      <c r="AC214" s="216"/>
      <c r="AD214" s="216"/>
      <c r="AE214" s="216"/>
      <c r="AF214" s="216"/>
      <c r="AG214" s="216"/>
      <c r="AH214" s="216"/>
      <c r="AI214" s="217"/>
    </row>
    <row r="215" spans="1:35" s="22" customFormat="1" ht="25.5" customHeight="1">
      <c r="A215" s="242" t="s">
        <v>601</v>
      </c>
      <c r="B215" s="243"/>
      <c r="C215" s="244"/>
      <c r="D215" s="243"/>
      <c r="E215" s="171"/>
      <c r="F215" s="171"/>
      <c r="G215" s="171"/>
      <c r="H215" s="171"/>
      <c r="I215" s="171"/>
      <c r="J215" s="171"/>
      <c r="K215" s="171"/>
      <c r="L215" s="171"/>
      <c r="M215" s="171"/>
      <c r="N215" s="171"/>
      <c r="O215" s="243"/>
      <c r="P215" s="231"/>
      <c r="Q215" s="215"/>
      <c r="R215" s="215"/>
      <c r="S215" s="216"/>
      <c r="T215" s="216"/>
      <c r="U215" s="216"/>
      <c r="V215" s="216"/>
      <c r="W215" s="216"/>
      <c r="X215" s="216"/>
      <c r="Y215" s="216"/>
      <c r="Z215" s="216"/>
      <c r="AA215" s="216"/>
      <c r="AB215" s="216"/>
      <c r="AC215" s="216"/>
      <c r="AD215" s="216"/>
      <c r="AE215" s="216"/>
      <c r="AF215" s="216"/>
      <c r="AG215" s="216"/>
      <c r="AH215" s="216"/>
      <c r="AI215" s="217"/>
    </row>
    <row r="216" spans="1:35" s="16" customFormat="1" ht="26.25" customHeight="1">
      <c r="A216" s="246"/>
      <c r="B216" s="247"/>
      <c r="C216" s="247"/>
      <c r="D216" s="241"/>
      <c r="E216" s="241"/>
      <c r="F216" s="241"/>
      <c r="G216" s="241"/>
      <c r="H216" s="241"/>
      <c r="I216" s="241"/>
      <c r="J216" s="241"/>
      <c r="K216" s="241"/>
      <c r="L216" s="241"/>
      <c r="M216" s="241"/>
      <c r="N216" s="241"/>
      <c r="O216" s="241"/>
      <c r="P216" s="230"/>
      <c r="Q216" s="156"/>
      <c r="R216" s="156"/>
      <c r="S216" s="156"/>
      <c r="T216" s="156"/>
      <c r="U216" s="156"/>
      <c r="V216" s="156"/>
      <c r="W216" s="156"/>
      <c r="X216" s="156"/>
      <c r="Y216" s="156"/>
      <c r="Z216" s="156"/>
      <c r="AA216" s="156"/>
      <c r="AB216" s="156"/>
      <c r="AC216" s="156"/>
      <c r="AD216" s="156"/>
      <c r="AE216" s="156"/>
      <c r="AF216" s="156"/>
      <c r="AG216" s="156"/>
      <c r="AH216" s="156"/>
      <c r="AI216" s="156"/>
    </row>
    <row r="217" spans="1:35" s="21" customFormat="1" ht="26.25" customHeight="1">
      <c r="A217" s="17"/>
      <c r="B217" s="6"/>
      <c r="C217" s="6"/>
      <c r="D217" s="249"/>
      <c r="E217" s="249"/>
      <c r="F217" s="249"/>
      <c r="G217" s="249"/>
      <c r="H217" s="249"/>
      <c r="I217" s="249"/>
      <c r="J217" s="249"/>
      <c r="K217" s="249"/>
      <c r="L217" s="249"/>
      <c r="M217" s="249"/>
      <c r="N217" s="249"/>
      <c r="O217" s="249"/>
      <c r="P217" s="230"/>
      <c r="Q217" s="156"/>
      <c r="R217" s="156"/>
      <c r="S217" s="156"/>
      <c r="T217" s="156"/>
      <c r="U217" s="156"/>
      <c r="V217" s="156"/>
      <c r="W217" s="156"/>
      <c r="X217" s="156"/>
      <c r="Y217" s="156"/>
      <c r="Z217" s="156"/>
      <c r="AA217" s="156"/>
      <c r="AB217" s="156"/>
      <c r="AC217" s="156"/>
      <c r="AD217" s="156"/>
      <c r="AE217" s="156"/>
      <c r="AF217" s="156"/>
      <c r="AG217" s="156"/>
      <c r="AH217" s="156"/>
      <c r="AI217" s="156"/>
    </row>
    <row r="218" spans="1:35" s="16" customFormat="1" ht="15.75">
      <c r="A218" s="6"/>
      <c r="C218" s="44"/>
      <c r="D218" s="57"/>
      <c r="E218" s="57"/>
      <c r="F218" s="57"/>
      <c r="G218" s="57"/>
      <c r="H218" s="57"/>
      <c r="I218" s="57"/>
      <c r="J218" s="57"/>
      <c r="K218" s="57"/>
      <c r="L218" s="57"/>
      <c r="M218" s="57"/>
      <c r="N218" s="57"/>
      <c r="O218" s="57"/>
      <c r="P218" s="231"/>
      <c r="Q218" s="215"/>
      <c r="R218" s="215"/>
      <c r="S218" s="154"/>
      <c r="T218" s="154"/>
      <c r="U218" s="154"/>
      <c r="V218" s="154"/>
      <c r="W218" s="154"/>
      <c r="X218" s="154"/>
      <c r="Y218" s="154"/>
      <c r="Z218" s="154"/>
      <c r="AA218" s="154"/>
      <c r="AB218" s="154"/>
      <c r="AC218" s="154"/>
      <c r="AD218" s="154"/>
      <c r="AE218" s="154"/>
      <c r="AF218" s="154"/>
      <c r="AG218" s="154"/>
      <c r="AH218" s="154"/>
      <c r="AI218" s="155"/>
    </row>
    <row r="219" spans="3:35" s="16" customFormat="1" ht="15.75">
      <c r="C219" s="64"/>
      <c r="D219" s="57"/>
      <c r="E219" s="57"/>
      <c r="F219" s="57"/>
      <c r="G219" s="57"/>
      <c r="H219" s="57"/>
      <c r="I219" s="57"/>
      <c r="J219" s="57"/>
      <c r="K219" s="57"/>
      <c r="L219" s="57"/>
      <c r="M219" s="57"/>
      <c r="N219" s="57"/>
      <c r="O219" s="57"/>
      <c r="P219" s="231"/>
      <c r="Q219" s="215"/>
      <c r="R219" s="215"/>
      <c r="S219" s="154"/>
      <c r="T219" s="154"/>
      <c r="U219" s="154"/>
      <c r="V219" s="154"/>
      <c r="W219" s="154"/>
      <c r="X219" s="154"/>
      <c r="Y219" s="154"/>
      <c r="Z219" s="154"/>
      <c r="AA219" s="154"/>
      <c r="AB219" s="154"/>
      <c r="AC219" s="154"/>
      <c r="AD219" s="154"/>
      <c r="AE219" s="154"/>
      <c r="AF219" s="154"/>
      <c r="AG219" s="154"/>
      <c r="AH219" s="154"/>
      <c r="AI219" s="155"/>
    </row>
    <row r="220" spans="1:35" s="16" customFormat="1" ht="15.75">
      <c r="A220" s="17"/>
      <c r="B220" s="6"/>
      <c r="C220" s="44"/>
      <c r="J220" s="20"/>
      <c r="K220" s="20"/>
      <c r="P220" s="230"/>
      <c r="Q220" s="154"/>
      <c r="R220" s="154"/>
      <c r="S220" s="154"/>
      <c r="T220" s="154"/>
      <c r="U220" s="154"/>
      <c r="V220" s="154"/>
      <c r="W220" s="154"/>
      <c r="X220" s="154"/>
      <c r="Y220" s="154"/>
      <c r="Z220" s="154"/>
      <c r="AA220" s="154"/>
      <c r="AB220" s="154"/>
      <c r="AC220" s="154"/>
      <c r="AD220" s="154"/>
      <c r="AE220" s="154"/>
      <c r="AF220" s="154"/>
      <c r="AG220" s="154"/>
      <c r="AH220" s="154"/>
      <c r="AI220" s="155"/>
    </row>
    <row r="221" spans="1:35" s="16" customFormat="1" ht="15.75">
      <c r="A221" s="17"/>
      <c r="B221" s="6"/>
      <c r="C221" s="44"/>
      <c r="J221" s="20"/>
      <c r="K221" s="20"/>
      <c r="P221" s="230"/>
      <c r="Q221" s="154"/>
      <c r="R221" s="154"/>
      <c r="S221" s="154"/>
      <c r="T221" s="154"/>
      <c r="U221" s="154"/>
      <c r="V221" s="154"/>
      <c r="W221" s="154"/>
      <c r="X221" s="154"/>
      <c r="Y221" s="154"/>
      <c r="Z221" s="154"/>
      <c r="AA221" s="154"/>
      <c r="AB221" s="154"/>
      <c r="AC221" s="154"/>
      <c r="AD221" s="154"/>
      <c r="AE221" s="154"/>
      <c r="AF221" s="154"/>
      <c r="AG221" s="154"/>
      <c r="AH221" s="154"/>
      <c r="AI221" s="155"/>
    </row>
    <row r="222" spans="1:35" s="16" customFormat="1" ht="15.75">
      <c r="A222" s="17"/>
      <c r="B222" s="6"/>
      <c r="C222" s="44"/>
      <c r="J222" s="20"/>
      <c r="K222" s="20"/>
      <c r="P222" s="230"/>
      <c r="Q222" s="154"/>
      <c r="R222" s="154"/>
      <c r="S222" s="154"/>
      <c r="T222" s="154"/>
      <c r="U222" s="154"/>
      <c r="V222" s="154"/>
      <c r="W222" s="154"/>
      <c r="X222" s="154"/>
      <c r="Y222" s="154"/>
      <c r="Z222" s="154"/>
      <c r="AA222" s="154"/>
      <c r="AB222" s="154"/>
      <c r="AC222" s="154"/>
      <c r="AD222" s="154"/>
      <c r="AE222" s="154"/>
      <c r="AF222" s="154"/>
      <c r="AG222" s="154"/>
      <c r="AH222" s="154"/>
      <c r="AI222" s="155"/>
    </row>
    <row r="223" spans="1:35" s="16" customFormat="1" ht="15.75">
      <c r="A223" s="17"/>
      <c r="B223" s="6"/>
      <c r="C223" s="44"/>
      <c r="D223" s="58"/>
      <c r="E223" s="58"/>
      <c r="J223" s="20"/>
      <c r="K223" s="20"/>
      <c r="P223" s="230"/>
      <c r="Q223" s="154"/>
      <c r="R223" s="154"/>
      <c r="S223" s="154"/>
      <c r="T223" s="154"/>
      <c r="U223" s="154"/>
      <c r="V223" s="154"/>
      <c r="W223" s="154"/>
      <c r="X223" s="154"/>
      <c r="Y223" s="154"/>
      <c r="Z223" s="154"/>
      <c r="AA223" s="154"/>
      <c r="AB223" s="154"/>
      <c r="AC223" s="154"/>
      <c r="AD223" s="154"/>
      <c r="AE223" s="154"/>
      <c r="AF223" s="154"/>
      <c r="AG223" s="154"/>
      <c r="AH223" s="154"/>
      <c r="AI223" s="155"/>
    </row>
    <row r="224" spans="1:35" s="16" customFormat="1" ht="15.75">
      <c r="A224" s="17"/>
      <c r="B224" s="6"/>
      <c r="C224" s="44"/>
      <c r="J224" s="20"/>
      <c r="K224" s="20"/>
      <c r="P224" s="230"/>
      <c r="Q224" s="154"/>
      <c r="R224" s="154"/>
      <c r="S224" s="154"/>
      <c r="T224" s="154"/>
      <c r="U224" s="154"/>
      <c r="V224" s="154"/>
      <c r="W224" s="154"/>
      <c r="X224" s="154"/>
      <c r="Y224" s="154"/>
      <c r="Z224" s="154"/>
      <c r="AA224" s="154"/>
      <c r="AB224" s="154"/>
      <c r="AC224" s="154"/>
      <c r="AD224" s="154"/>
      <c r="AE224" s="154"/>
      <c r="AF224" s="154"/>
      <c r="AG224" s="154"/>
      <c r="AH224" s="154"/>
      <c r="AI224" s="155"/>
    </row>
    <row r="225" spans="1:35" s="16" customFormat="1" ht="15.75">
      <c r="A225" s="17"/>
      <c r="B225" s="6"/>
      <c r="C225" s="44"/>
      <c r="D225" s="57"/>
      <c r="J225" s="20"/>
      <c r="K225" s="20"/>
      <c r="P225" s="230"/>
      <c r="Q225" s="154"/>
      <c r="R225" s="154"/>
      <c r="S225" s="154"/>
      <c r="T225" s="154"/>
      <c r="U225" s="154"/>
      <c r="V225" s="154"/>
      <c r="W225" s="154"/>
      <c r="X225" s="154"/>
      <c r="Y225" s="154"/>
      <c r="Z225" s="154"/>
      <c r="AA225" s="154"/>
      <c r="AB225" s="154"/>
      <c r="AC225" s="154"/>
      <c r="AD225" s="154"/>
      <c r="AE225" s="154"/>
      <c r="AF225" s="154"/>
      <c r="AG225" s="154"/>
      <c r="AH225" s="154"/>
      <c r="AI225" s="155"/>
    </row>
    <row r="226" spans="1:35" s="16" customFormat="1" ht="15.75">
      <c r="A226" s="17"/>
      <c r="B226" s="6"/>
      <c r="C226" s="44"/>
      <c r="D226" s="57"/>
      <c r="J226" s="20"/>
      <c r="K226" s="20"/>
      <c r="P226" s="230"/>
      <c r="Q226" s="154"/>
      <c r="R226" s="154"/>
      <c r="S226" s="154"/>
      <c r="T226" s="154"/>
      <c r="U226" s="154"/>
      <c r="V226" s="154"/>
      <c r="W226" s="154"/>
      <c r="X226" s="154"/>
      <c r="Y226" s="154"/>
      <c r="Z226" s="154"/>
      <c r="AA226" s="154"/>
      <c r="AB226" s="154"/>
      <c r="AC226" s="154"/>
      <c r="AD226" s="154"/>
      <c r="AE226" s="154"/>
      <c r="AF226" s="154"/>
      <c r="AG226" s="154"/>
      <c r="AH226" s="154"/>
      <c r="AI226" s="155"/>
    </row>
    <row r="227" spans="1:35" s="16" customFormat="1" ht="15.75">
      <c r="A227" s="17"/>
      <c r="B227" s="6"/>
      <c r="C227" s="44"/>
      <c r="J227" s="20"/>
      <c r="K227" s="20"/>
      <c r="P227" s="230"/>
      <c r="Q227" s="154"/>
      <c r="R227" s="154"/>
      <c r="S227" s="154"/>
      <c r="T227" s="154"/>
      <c r="U227" s="154"/>
      <c r="V227" s="154"/>
      <c r="W227" s="154"/>
      <c r="X227" s="154"/>
      <c r="Y227" s="154"/>
      <c r="Z227" s="154"/>
      <c r="AA227" s="154"/>
      <c r="AB227" s="154"/>
      <c r="AC227" s="154"/>
      <c r="AD227" s="154"/>
      <c r="AE227" s="154"/>
      <c r="AF227" s="154"/>
      <c r="AG227" s="154"/>
      <c r="AH227" s="154"/>
      <c r="AI227" s="155"/>
    </row>
    <row r="228" spans="1:35" s="16" customFormat="1" ht="15.75">
      <c r="A228" s="17"/>
      <c r="B228" s="6"/>
      <c r="C228" s="44"/>
      <c r="J228" s="20"/>
      <c r="K228" s="20"/>
      <c r="P228" s="230"/>
      <c r="Q228" s="154"/>
      <c r="R228" s="154"/>
      <c r="S228" s="154"/>
      <c r="T228" s="154"/>
      <c r="U228" s="154"/>
      <c r="V228" s="154"/>
      <c r="W228" s="154"/>
      <c r="X228" s="154"/>
      <c r="Y228" s="154"/>
      <c r="Z228" s="154"/>
      <c r="AA228" s="154"/>
      <c r="AB228" s="154"/>
      <c r="AC228" s="154"/>
      <c r="AD228" s="154"/>
      <c r="AE228" s="154"/>
      <c r="AF228" s="154"/>
      <c r="AG228" s="154"/>
      <c r="AH228" s="154"/>
      <c r="AI228" s="155"/>
    </row>
    <row r="229" spans="1:35" s="16" customFormat="1" ht="15.75">
      <c r="A229" s="17"/>
      <c r="B229" s="6"/>
      <c r="C229" s="44"/>
      <c r="J229" s="20"/>
      <c r="K229" s="20"/>
      <c r="P229" s="230"/>
      <c r="Q229" s="154"/>
      <c r="R229" s="154"/>
      <c r="S229" s="154"/>
      <c r="T229" s="154"/>
      <c r="U229" s="154"/>
      <c r="V229" s="154"/>
      <c r="W229" s="154"/>
      <c r="X229" s="154"/>
      <c r="Y229" s="154"/>
      <c r="Z229" s="154"/>
      <c r="AA229" s="154"/>
      <c r="AB229" s="154"/>
      <c r="AC229" s="154"/>
      <c r="AD229" s="154"/>
      <c r="AE229" s="154"/>
      <c r="AF229" s="154"/>
      <c r="AG229" s="154"/>
      <c r="AH229" s="154"/>
      <c r="AI229" s="155"/>
    </row>
    <row r="230" spans="1:35" s="16" customFormat="1" ht="15.75">
      <c r="A230" s="17"/>
      <c r="B230" s="6"/>
      <c r="C230" s="44"/>
      <c r="J230" s="20"/>
      <c r="K230" s="20"/>
      <c r="P230" s="230"/>
      <c r="Q230" s="154"/>
      <c r="R230" s="154"/>
      <c r="S230" s="154"/>
      <c r="T230" s="154"/>
      <c r="U230" s="154"/>
      <c r="V230" s="154"/>
      <c r="W230" s="154"/>
      <c r="X230" s="154"/>
      <c r="Y230" s="154"/>
      <c r="Z230" s="154"/>
      <c r="AA230" s="154"/>
      <c r="AB230" s="154"/>
      <c r="AC230" s="154"/>
      <c r="AD230" s="154"/>
      <c r="AE230" s="154"/>
      <c r="AF230" s="154"/>
      <c r="AG230" s="154"/>
      <c r="AH230" s="154"/>
      <c r="AI230" s="155"/>
    </row>
    <row r="231" spans="1:35" s="16" customFormat="1" ht="15.75">
      <c r="A231" s="17"/>
      <c r="B231" s="6"/>
      <c r="C231" s="44"/>
      <c r="J231" s="20"/>
      <c r="K231" s="20"/>
      <c r="P231" s="230"/>
      <c r="Q231" s="154"/>
      <c r="R231" s="154"/>
      <c r="S231" s="154"/>
      <c r="T231" s="154"/>
      <c r="U231" s="154"/>
      <c r="V231" s="154"/>
      <c r="W231" s="154"/>
      <c r="X231" s="154"/>
      <c r="Y231" s="154"/>
      <c r="Z231" s="154"/>
      <c r="AA231" s="154"/>
      <c r="AB231" s="154"/>
      <c r="AC231" s="154"/>
      <c r="AD231" s="154"/>
      <c r="AE231" s="154"/>
      <c r="AF231" s="154"/>
      <c r="AG231" s="154"/>
      <c r="AH231" s="154"/>
      <c r="AI231" s="155"/>
    </row>
    <row r="232" spans="1:35" s="16" customFormat="1" ht="15.75">
      <c r="A232" s="17"/>
      <c r="B232" s="6"/>
      <c r="C232" s="44"/>
      <c r="J232" s="20"/>
      <c r="K232" s="20"/>
      <c r="P232" s="230"/>
      <c r="Q232" s="154"/>
      <c r="R232" s="154"/>
      <c r="S232" s="154"/>
      <c r="T232" s="154"/>
      <c r="U232" s="154"/>
      <c r="V232" s="154"/>
      <c r="W232" s="154"/>
      <c r="X232" s="154"/>
      <c r="Y232" s="154"/>
      <c r="Z232" s="154"/>
      <c r="AA232" s="154"/>
      <c r="AB232" s="154"/>
      <c r="AC232" s="154"/>
      <c r="AD232" s="154"/>
      <c r="AE232" s="154"/>
      <c r="AF232" s="154"/>
      <c r="AG232" s="154"/>
      <c r="AH232" s="154"/>
      <c r="AI232" s="155"/>
    </row>
    <row r="233" spans="1:35" s="16" customFormat="1" ht="15.75">
      <c r="A233" s="17"/>
      <c r="B233" s="6"/>
      <c r="C233" s="44"/>
      <c r="P233" s="230"/>
      <c r="Q233" s="154"/>
      <c r="R233" s="154"/>
      <c r="S233" s="154"/>
      <c r="T233" s="154"/>
      <c r="U233" s="154"/>
      <c r="V233" s="154"/>
      <c r="W233" s="154"/>
      <c r="X233" s="154"/>
      <c r="Y233" s="154"/>
      <c r="Z233" s="154"/>
      <c r="AA233" s="154"/>
      <c r="AB233" s="154"/>
      <c r="AC233" s="154"/>
      <c r="AD233" s="154"/>
      <c r="AE233" s="154"/>
      <c r="AF233" s="154"/>
      <c r="AG233" s="154"/>
      <c r="AH233" s="154"/>
      <c r="AI233" s="155"/>
    </row>
    <row r="234" spans="1:35" s="16" customFormat="1" ht="15.75">
      <c r="A234" s="17"/>
      <c r="B234" s="6"/>
      <c r="C234" s="44"/>
      <c r="P234" s="230"/>
      <c r="Q234" s="154"/>
      <c r="R234" s="154"/>
      <c r="S234" s="154"/>
      <c r="T234" s="154"/>
      <c r="U234" s="154"/>
      <c r="V234" s="154"/>
      <c r="W234" s="154"/>
      <c r="X234" s="154"/>
      <c r="Y234" s="154"/>
      <c r="Z234" s="154"/>
      <c r="AA234" s="154"/>
      <c r="AB234" s="154"/>
      <c r="AC234" s="154"/>
      <c r="AD234" s="154"/>
      <c r="AE234" s="154"/>
      <c r="AF234" s="154"/>
      <c r="AG234" s="154"/>
      <c r="AH234" s="154"/>
      <c r="AI234" s="155"/>
    </row>
    <row r="235" spans="1:35" s="16" customFormat="1" ht="15.75">
      <c r="A235" s="17"/>
      <c r="B235" s="6"/>
      <c r="C235" s="44"/>
      <c r="P235" s="230"/>
      <c r="Q235" s="154"/>
      <c r="R235" s="154"/>
      <c r="S235" s="154"/>
      <c r="T235" s="154"/>
      <c r="U235" s="154"/>
      <c r="V235" s="154"/>
      <c r="W235" s="154"/>
      <c r="X235" s="154"/>
      <c r="Y235" s="154"/>
      <c r="Z235" s="154"/>
      <c r="AA235" s="154"/>
      <c r="AB235" s="154"/>
      <c r="AC235" s="154"/>
      <c r="AD235" s="154"/>
      <c r="AE235" s="154"/>
      <c r="AF235" s="154"/>
      <c r="AG235" s="154"/>
      <c r="AH235" s="154"/>
      <c r="AI235" s="155"/>
    </row>
    <row r="236" spans="1:35" s="16" customFormat="1" ht="15.75">
      <c r="A236" s="17"/>
      <c r="B236" s="6"/>
      <c r="C236" s="44"/>
      <c r="P236" s="230"/>
      <c r="Q236" s="154"/>
      <c r="R236" s="154"/>
      <c r="S236" s="154"/>
      <c r="T236" s="154"/>
      <c r="U236" s="154"/>
      <c r="V236" s="154"/>
      <c r="W236" s="154"/>
      <c r="X236" s="154"/>
      <c r="Y236" s="154"/>
      <c r="Z236" s="154"/>
      <c r="AA236" s="154"/>
      <c r="AB236" s="154"/>
      <c r="AC236" s="154"/>
      <c r="AD236" s="154"/>
      <c r="AE236" s="154"/>
      <c r="AF236" s="154"/>
      <c r="AG236" s="154"/>
      <c r="AH236" s="154"/>
      <c r="AI236" s="155"/>
    </row>
    <row r="237" spans="1:35" s="16" customFormat="1" ht="15.75">
      <c r="A237" s="17"/>
      <c r="B237" s="6"/>
      <c r="C237" s="44"/>
      <c r="P237" s="230"/>
      <c r="Q237" s="154"/>
      <c r="R237" s="154"/>
      <c r="S237" s="154"/>
      <c r="T237" s="154"/>
      <c r="U237" s="154"/>
      <c r="V237" s="154"/>
      <c r="W237" s="154"/>
      <c r="X237" s="154"/>
      <c r="Y237" s="154"/>
      <c r="Z237" s="154"/>
      <c r="AA237" s="154"/>
      <c r="AB237" s="154"/>
      <c r="AC237" s="154"/>
      <c r="AD237" s="154"/>
      <c r="AE237" s="154"/>
      <c r="AF237" s="154"/>
      <c r="AG237" s="154"/>
      <c r="AH237" s="154"/>
      <c r="AI237" s="155"/>
    </row>
    <row r="238" spans="1:35" s="16" customFormat="1" ht="15.75">
      <c r="A238" s="17"/>
      <c r="B238" s="6"/>
      <c r="C238" s="44"/>
      <c r="P238" s="230"/>
      <c r="Q238" s="154"/>
      <c r="R238" s="154"/>
      <c r="S238" s="154"/>
      <c r="T238" s="154"/>
      <c r="U238" s="154"/>
      <c r="V238" s="154"/>
      <c r="W238" s="154"/>
      <c r="X238" s="154"/>
      <c r="Y238" s="154"/>
      <c r="Z238" s="154"/>
      <c r="AA238" s="154"/>
      <c r="AB238" s="154"/>
      <c r="AC238" s="154"/>
      <c r="AD238" s="154"/>
      <c r="AE238" s="154"/>
      <c r="AF238" s="154"/>
      <c r="AG238" s="154"/>
      <c r="AH238" s="154"/>
      <c r="AI238" s="155"/>
    </row>
    <row r="239" spans="1:35" s="16" customFormat="1" ht="15.75">
      <c r="A239" s="17"/>
      <c r="B239" s="6"/>
      <c r="C239" s="44"/>
      <c r="P239" s="230"/>
      <c r="Q239" s="154"/>
      <c r="R239" s="154"/>
      <c r="S239" s="154"/>
      <c r="T239" s="154"/>
      <c r="U239" s="154"/>
      <c r="V239" s="154"/>
      <c r="W239" s="154"/>
      <c r="X239" s="154"/>
      <c r="Y239" s="154"/>
      <c r="Z239" s="154"/>
      <c r="AA239" s="154"/>
      <c r="AB239" s="154"/>
      <c r="AC239" s="154"/>
      <c r="AD239" s="154"/>
      <c r="AE239" s="154"/>
      <c r="AF239" s="154"/>
      <c r="AG239" s="154"/>
      <c r="AH239" s="154"/>
      <c r="AI239" s="155"/>
    </row>
    <row r="240" spans="1:35" s="16" customFormat="1" ht="15.75">
      <c r="A240" s="17"/>
      <c r="B240" s="6"/>
      <c r="C240" s="44"/>
      <c r="P240" s="230"/>
      <c r="Q240" s="154"/>
      <c r="R240" s="154"/>
      <c r="S240" s="154"/>
      <c r="T240" s="154"/>
      <c r="U240" s="154"/>
      <c r="V240" s="154"/>
      <c r="W240" s="154"/>
      <c r="X240" s="154"/>
      <c r="Y240" s="154"/>
      <c r="Z240" s="154"/>
      <c r="AA240" s="154"/>
      <c r="AB240" s="154"/>
      <c r="AC240" s="154"/>
      <c r="AD240" s="154"/>
      <c r="AE240" s="154"/>
      <c r="AF240" s="154"/>
      <c r="AG240" s="154"/>
      <c r="AH240" s="154"/>
      <c r="AI240" s="155"/>
    </row>
    <row r="241" spans="1:35" s="16" customFormat="1" ht="15.75">
      <c r="A241" s="17"/>
      <c r="B241" s="6"/>
      <c r="C241" s="44"/>
      <c r="P241" s="230"/>
      <c r="Q241" s="154"/>
      <c r="R241" s="154"/>
      <c r="S241" s="154"/>
      <c r="T241" s="154"/>
      <c r="U241" s="154"/>
      <c r="V241" s="154"/>
      <c r="W241" s="154"/>
      <c r="X241" s="154"/>
      <c r="Y241" s="154"/>
      <c r="Z241" s="154"/>
      <c r="AA241" s="154"/>
      <c r="AB241" s="154"/>
      <c r="AC241" s="154"/>
      <c r="AD241" s="154"/>
      <c r="AE241" s="154"/>
      <c r="AF241" s="154"/>
      <c r="AG241" s="154"/>
      <c r="AH241" s="154"/>
      <c r="AI241" s="155"/>
    </row>
    <row r="242" spans="1:35" s="16" customFormat="1" ht="15.75">
      <c r="A242" s="17"/>
      <c r="B242" s="6"/>
      <c r="C242" s="44"/>
      <c r="P242" s="230"/>
      <c r="Q242" s="154"/>
      <c r="R242" s="154"/>
      <c r="S242" s="154"/>
      <c r="T242" s="154"/>
      <c r="U242" s="154"/>
      <c r="V242" s="154"/>
      <c r="W242" s="154"/>
      <c r="X242" s="154"/>
      <c r="Y242" s="154"/>
      <c r="Z242" s="154"/>
      <c r="AA242" s="154"/>
      <c r="AB242" s="154"/>
      <c r="AC242" s="154"/>
      <c r="AD242" s="154"/>
      <c r="AE242" s="154"/>
      <c r="AF242" s="154"/>
      <c r="AG242" s="154"/>
      <c r="AH242" s="154"/>
      <c r="AI242" s="155"/>
    </row>
    <row r="243" spans="1:35" s="16" customFormat="1" ht="15.75">
      <c r="A243" s="17"/>
      <c r="B243" s="6"/>
      <c r="C243" s="44"/>
      <c r="P243" s="230"/>
      <c r="Q243" s="154"/>
      <c r="R243" s="154"/>
      <c r="S243" s="154"/>
      <c r="T243" s="154"/>
      <c r="U243" s="154"/>
      <c r="V243" s="154"/>
      <c r="W243" s="154"/>
      <c r="X243" s="154"/>
      <c r="Y243" s="154"/>
      <c r="Z243" s="154"/>
      <c r="AA243" s="154"/>
      <c r="AB243" s="154"/>
      <c r="AC243" s="154"/>
      <c r="AD243" s="154"/>
      <c r="AE243" s="154"/>
      <c r="AF243" s="154"/>
      <c r="AG243" s="154"/>
      <c r="AH243" s="154"/>
      <c r="AI243" s="155"/>
    </row>
    <row r="244" spans="1:35" s="16" customFormat="1" ht="15.75">
      <c r="A244" s="17"/>
      <c r="B244" s="6"/>
      <c r="C244" s="44"/>
      <c r="P244" s="230"/>
      <c r="Q244" s="154"/>
      <c r="R244" s="154"/>
      <c r="S244" s="154"/>
      <c r="T244" s="154"/>
      <c r="U244" s="154"/>
      <c r="V244" s="154"/>
      <c r="W244" s="154"/>
      <c r="X244" s="154"/>
      <c r="Y244" s="154"/>
      <c r="Z244" s="154"/>
      <c r="AA244" s="154"/>
      <c r="AB244" s="154"/>
      <c r="AC244" s="154"/>
      <c r="AD244" s="154"/>
      <c r="AE244" s="154"/>
      <c r="AF244" s="154"/>
      <c r="AG244" s="154"/>
      <c r="AH244" s="154"/>
      <c r="AI244" s="155"/>
    </row>
    <row r="245" spans="1:35" s="16" customFormat="1" ht="15.75">
      <c r="A245" s="17"/>
      <c r="B245" s="6"/>
      <c r="C245" s="44"/>
      <c r="P245" s="230"/>
      <c r="Q245" s="154"/>
      <c r="R245" s="154"/>
      <c r="S245" s="154"/>
      <c r="T245" s="154"/>
      <c r="U245" s="154"/>
      <c r="V245" s="154"/>
      <c r="W245" s="154"/>
      <c r="X245" s="154"/>
      <c r="Y245" s="154"/>
      <c r="Z245" s="154"/>
      <c r="AA245" s="154"/>
      <c r="AB245" s="154"/>
      <c r="AC245" s="154"/>
      <c r="AD245" s="154"/>
      <c r="AE245" s="154"/>
      <c r="AF245" s="154"/>
      <c r="AG245" s="154"/>
      <c r="AH245" s="154"/>
      <c r="AI245" s="155"/>
    </row>
    <row r="246" spans="1:35" s="16" customFormat="1" ht="15.75">
      <c r="A246" s="17"/>
      <c r="B246" s="6"/>
      <c r="C246" s="44"/>
      <c r="P246" s="230"/>
      <c r="Q246" s="154"/>
      <c r="R246" s="154"/>
      <c r="S246" s="154"/>
      <c r="T246" s="154"/>
      <c r="U246" s="154"/>
      <c r="V246" s="154"/>
      <c r="W246" s="154"/>
      <c r="X246" s="154"/>
      <c r="Y246" s="154"/>
      <c r="Z246" s="154"/>
      <c r="AA246" s="154"/>
      <c r="AB246" s="154"/>
      <c r="AC246" s="154"/>
      <c r="AD246" s="154"/>
      <c r="AE246" s="154"/>
      <c r="AF246" s="154"/>
      <c r="AG246" s="154"/>
      <c r="AH246" s="154"/>
      <c r="AI246" s="155"/>
    </row>
    <row r="247" spans="1:35" s="16" customFormat="1" ht="15.75">
      <c r="A247" s="17"/>
      <c r="B247" s="6"/>
      <c r="C247" s="44"/>
      <c r="P247" s="230"/>
      <c r="Q247" s="154"/>
      <c r="R247" s="154"/>
      <c r="S247" s="154"/>
      <c r="T247" s="154"/>
      <c r="U247" s="154"/>
      <c r="V247" s="154"/>
      <c r="W247" s="154"/>
      <c r="X247" s="154"/>
      <c r="Y247" s="154"/>
      <c r="Z247" s="154"/>
      <c r="AA247" s="154"/>
      <c r="AB247" s="154"/>
      <c r="AC247" s="154"/>
      <c r="AD247" s="154"/>
      <c r="AE247" s="154"/>
      <c r="AF247" s="154"/>
      <c r="AG247" s="154"/>
      <c r="AH247" s="154"/>
      <c r="AI247" s="155"/>
    </row>
    <row r="248" spans="1:35" s="16" customFormat="1" ht="15.75">
      <c r="A248" s="17"/>
      <c r="B248" s="6"/>
      <c r="C248" s="44"/>
      <c r="P248" s="230"/>
      <c r="Q248" s="154"/>
      <c r="R248" s="154"/>
      <c r="S248" s="154"/>
      <c r="T248" s="154"/>
      <c r="U248" s="154"/>
      <c r="V248" s="154"/>
      <c r="W248" s="154"/>
      <c r="X248" s="154"/>
      <c r="Y248" s="154"/>
      <c r="Z248" s="154"/>
      <c r="AA248" s="154"/>
      <c r="AB248" s="154"/>
      <c r="AC248" s="154"/>
      <c r="AD248" s="154"/>
      <c r="AE248" s="154"/>
      <c r="AF248" s="154"/>
      <c r="AG248" s="154"/>
      <c r="AH248" s="154"/>
      <c r="AI248" s="155"/>
    </row>
    <row r="249" spans="1:35" s="16" customFormat="1" ht="15.75">
      <c r="A249" s="17"/>
      <c r="B249" s="6"/>
      <c r="C249" s="44"/>
      <c r="P249" s="230"/>
      <c r="Q249" s="154"/>
      <c r="R249" s="154"/>
      <c r="S249" s="154"/>
      <c r="T249" s="154"/>
      <c r="U249" s="154"/>
      <c r="V249" s="154"/>
      <c r="W249" s="154"/>
      <c r="X249" s="154"/>
      <c r="Y249" s="154"/>
      <c r="Z249" s="154"/>
      <c r="AA249" s="154"/>
      <c r="AB249" s="154"/>
      <c r="AC249" s="154"/>
      <c r="AD249" s="154"/>
      <c r="AE249" s="154"/>
      <c r="AF249" s="154"/>
      <c r="AG249" s="154"/>
      <c r="AH249" s="154"/>
      <c r="AI249" s="155"/>
    </row>
    <row r="250" spans="1:35" s="16" customFormat="1" ht="15.75">
      <c r="A250" s="17"/>
      <c r="B250" s="6"/>
      <c r="C250" s="44"/>
      <c r="P250" s="230"/>
      <c r="Q250" s="154"/>
      <c r="R250" s="154"/>
      <c r="S250" s="154"/>
      <c r="T250" s="154"/>
      <c r="U250" s="154"/>
      <c r="V250" s="154"/>
      <c r="W250" s="154"/>
      <c r="X250" s="154"/>
      <c r="Y250" s="154"/>
      <c r="Z250" s="154"/>
      <c r="AA250" s="154"/>
      <c r="AB250" s="154"/>
      <c r="AC250" s="154"/>
      <c r="AD250" s="154"/>
      <c r="AE250" s="154"/>
      <c r="AF250" s="154"/>
      <c r="AG250" s="154"/>
      <c r="AH250" s="154"/>
      <c r="AI250" s="155"/>
    </row>
    <row r="251" spans="1:35" s="16" customFormat="1" ht="15.75">
      <c r="A251" s="17"/>
      <c r="B251" s="6"/>
      <c r="C251" s="44"/>
      <c r="P251" s="230"/>
      <c r="Q251" s="154"/>
      <c r="R251" s="154"/>
      <c r="S251" s="154"/>
      <c r="T251" s="154"/>
      <c r="U251" s="154"/>
      <c r="V251" s="154"/>
      <c r="W251" s="154"/>
      <c r="X251" s="154"/>
      <c r="Y251" s="154"/>
      <c r="Z251" s="154"/>
      <c r="AA251" s="154"/>
      <c r="AB251" s="154"/>
      <c r="AC251" s="154"/>
      <c r="AD251" s="154"/>
      <c r="AE251" s="154"/>
      <c r="AF251" s="154"/>
      <c r="AG251" s="154"/>
      <c r="AH251" s="154"/>
      <c r="AI251" s="155"/>
    </row>
    <row r="252" spans="1:35" s="16" customFormat="1" ht="15.75">
      <c r="A252" s="17"/>
      <c r="B252" s="6"/>
      <c r="C252" s="44"/>
      <c r="P252" s="230"/>
      <c r="Q252" s="154"/>
      <c r="R252" s="154"/>
      <c r="S252" s="154"/>
      <c r="T252" s="154"/>
      <c r="U252" s="154"/>
      <c r="V252" s="154"/>
      <c r="W252" s="154"/>
      <c r="X252" s="154"/>
      <c r="Y252" s="154"/>
      <c r="Z252" s="154"/>
      <c r="AA252" s="154"/>
      <c r="AB252" s="154"/>
      <c r="AC252" s="154"/>
      <c r="AD252" s="154"/>
      <c r="AE252" s="154"/>
      <c r="AF252" s="154"/>
      <c r="AG252" s="154"/>
      <c r="AH252" s="154"/>
      <c r="AI252" s="155"/>
    </row>
    <row r="253" spans="1:35" s="16" customFormat="1" ht="15.75">
      <c r="A253" s="17"/>
      <c r="B253" s="6"/>
      <c r="C253" s="44"/>
      <c r="P253" s="230"/>
      <c r="Q253" s="154"/>
      <c r="R253" s="154"/>
      <c r="S253" s="154"/>
      <c r="T253" s="154"/>
      <c r="U253" s="154"/>
      <c r="V253" s="154"/>
      <c r="W253" s="154"/>
      <c r="X253" s="154"/>
      <c r="Y253" s="154"/>
      <c r="Z253" s="154"/>
      <c r="AA253" s="154"/>
      <c r="AB253" s="154"/>
      <c r="AC253" s="154"/>
      <c r="AD253" s="154"/>
      <c r="AE253" s="154"/>
      <c r="AF253" s="154"/>
      <c r="AG253" s="154"/>
      <c r="AH253" s="154"/>
      <c r="AI253" s="155"/>
    </row>
    <row r="254" spans="1:35" s="16" customFormat="1" ht="15.75">
      <c r="A254" s="17"/>
      <c r="B254" s="6"/>
      <c r="C254" s="44"/>
      <c r="P254" s="230"/>
      <c r="Q254" s="154"/>
      <c r="R254" s="154"/>
      <c r="S254" s="154"/>
      <c r="T254" s="154"/>
      <c r="U254" s="154"/>
      <c r="V254" s="154"/>
      <c r="W254" s="154"/>
      <c r="X254" s="154"/>
      <c r="Y254" s="154"/>
      <c r="Z254" s="154"/>
      <c r="AA254" s="154"/>
      <c r="AB254" s="154"/>
      <c r="AC254" s="154"/>
      <c r="AD254" s="154"/>
      <c r="AE254" s="154"/>
      <c r="AF254" s="154"/>
      <c r="AG254" s="154"/>
      <c r="AH254" s="154"/>
      <c r="AI254" s="155"/>
    </row>
    <row r="255" spans="1:35" s="16" customFormat="1" ht="15.75">
      <c r="A255" s="17"/>
      <c r="B255" s="6"/>
      <c r="C255" s="44"/>
      <c r="P255" s="230"/>
      <c r="Q255" s="154"/>
      <c r="R255" s="154"/>
      <c r="S255" s="154"/>
      <c r="T255" s="154"/>
      <c r="U255" s="154"/>
      <c r="V255" s="154"/>
      <c r="W255" s="154"/>
      <c r="X255" s="154"/>
      <c r="Y255" s="154"/>
      <c r="Z255" s="154"/>
      <c r="AA255" s="154"/>
      <c r="AB255" s="154"/>
      <c r="AC255" s="154"/>
      <c r="AD255" s="154"/>
      <c r="AE255" s="154"/>
      <c r="AF255" s="154"/>
      <c r="AG255" s="154"/>
      <c r="AH255" s="154"/>
      <c r="AI255" s="155"/>
    </row>
    <row r="256" spans="1:35" s="16" customFormat="1" ht="15.75">
      <c r="A256" s="17"/>
      <c r="B256" s="6"/>
      <c r="C256" s="44"/>
      <c r="P256" s="230"/>
      <c r="Q256" s="154"/>
      <c r="R256" s="154"/>
      <c r="S256" s="154"/>
      <c r="T256" s="154"/>
      <c r="U256" s="154"/>
      <c r="V256" s="154"/>
      <c r="W256" s="154"/>
      <c r="X256" s="154"/>
      <c r="Y256" s="154"/>
      <c r="Z256" s="154"/>
      <c r="AA256" s="154"/>
      <c r="AB256" s="154"/>
      <c r="AC256" s="154"/>
      <c r="AD256" s="154"/>
      <c r="AE256" s="154"/>
      <c r="AF256" s="154"/>
      <c r="AG256" s="154"/>
      <c r="AH256" s="154"/>
      <c r="AI256" s="155"/>
    </row>
    <row r="257" spans="1:35" s="16" customFormat="1" ht="15.75">
      <c r="A257" s="17"/>
      <c r="B257" s="6"/>
      <c r="C257" s="44"/>
      <c r="P257" s="230"/>
      <c r="Q257" s="154"/>
      <c r="R257" s="154"/>
      <c r="S257" s="154"/>
      <c r="T257" s="154"/>
      <c r="U257" s="154"/>
      <c r="V257" s="154"/>
      <c r="W257" s="154"/>
      <c r="X257" s="154"/>
      <c r="Y257" s="154"/>
      <c r="Z257" s="154"/>
      <c r="AA257" s="154"/>
      <c r="AB257" s="154"/>
      <c r="AC257" s="154"/>
      <c r="AD257" s="154"/>
      <c r="AE257" s="154"/>
      <c r="AF257" s="154"/>
      <c r="AG257" s="154"/>
      <c r="AH257" s="154"/>
      <c r="AI257" s="155"/>
    </row>
    <row r="258" spans="1:35" s="16" customFormat="1" ht="15.75">
      <c r="A258" s="17"/>
      <c r="B258" s="6"/>
      <c r="C258" s="44"/>
      <c r="P258" s="230"/>
      <c r="Q258" s="154"/>
      <c r="R258" s="154"/>
      <c r="S258" s="154"/>
      <c r="T258" s="154"/>
      <c r="U258" s="154"/>
      <c r="V258" s="154"/>
      <c r="W258" s="154"/>
      <c r="X258" s="154"/>
      <c r="Y258" s="154"/>
      <c r="Z258" s="154"/>
      <c r="AA258" s="154"/>
      <c r="AB258" s="154"/>
      <c r="AC258" s="154"/>
      <c r="AD258" s="154"/>
      <c r="AE258" s="154"/>
      <c r="AF258" s="154"/>
      <c r="AG258" s="154"/>
      <c r="AH258" s="154"/>
      <c r="AI258" s="155"/>
    </row>
    <row r="259" spans="1:35" s="16" customFormat="1" ht="15.75">
      <c r="A259" s="17"/>
      <c r="B259" s="6"/>
      <c r="C259" s="44"/>
      <c r="P259" s="230"/>
      <c r="Q259" s="154"/>
      <c r="R259" s="154"/>
      <c r="S259" s="154"/>
      <c r="T259" s="154"/>
      <c r="U259" s="154"/>
      <c r="V259" s="154"/>
      <c r="W259" s="154"/>
      <c r="X259" s="154"/>
      <c r="Y259" s="154"/>
      <c r="Z259" s="154"/>
      <c r="AA259" s="154"/>
      <c r="AB259" s="154"/>
      <c r="AC259" s="154"/>
      <c r="AD259" s="154"/>
      <c r="AE259" s="154"/>
      <c r="AF259" s="154"/>
      <c r="AG259" s="154"/>
      <c r="AH259" s="154"/>
      <c r="AI259" s="155"/>
    </row>
    <row r="260" spans="1:35" s="16" customFormat="1" ht="15.75">
      <c r="A260" s="17"/>
      <c r="B260" s="6"/>
      <c r="C260" s="44"/>
      <c r="P260" s="230"/>
      <c r="Q260" s="154"/>
      <c r="R260" s="154"/>
      <c r="S260" s="154"/>
      <c r="T260" s="154"/>
      <c r="U260" s="154"/>
      <c r="V260" s="154"/>
      <c r="W260" s="154"/>
      <c r="X260" s="154"/>
      <c r="Y260" s="154"/>
      <c r="Z260" s="154"/>
      <c r="AA260" s="154"/>
      <c r="AB260" s="154"/>
      <c r="AC260" s="154"/>
      <c r="AD260" s="154"/>
      <c r="AE260" s="154"/>
      <c r="AF260" s="154"/>
      <c r="AG260" s="154"/>
      <c r="AH260" s="154"/>
      <c r="AI260" s="155"/>
    </row>
    <row r="261" spans="1:35" s="16" customFormat="1" ht="15.75">
      <c r="A261" s="17"/>
      <c r="B261" s="6"/>
      <c r="C261" s="44"/>
      <c r="P261" s="230"/>
      <c r="Q261" s="154"/>
      <c r="R261" s="154"/>
      <c r="S261" s="154"/>
      <c r="T261" s="154"/>
      <c r="U261" s="154"/>
      <c r="V261" s="154"/>
      <c r="W261" s="154"/>
      <c r="X261" s="154"/>
      <c r="Y261" s="154"/>
      <c r="Z261" s="154"/>
      <c r="AA261" s="154"/>
      <c r="AB261" s="154"/>
      <c r="AC261" s="154"/>
      <c r="AD261" s="154"/>
      <c r="AE261" s="154"/>
      <c r="AF261" s="154"/>
      <c r="AG261" s="154"/>
      <c r="AH261" s="154"/>
      <c r="AI261" s="155"/>
    </row>
    <row r="262" spans="1:35" s="16" customFormat="1" ht="15.75">
      <c r="A262" s="17"/>
      <c r="B262" s="6"/>
      <c r="C262" s="44"/>
      <c r="P262" s="230"/>
      <c r="Q262" s="154"/>
      <c r="R262" s="154"/>
      <c r="S262" s="154"/>
      <c r="T262" s="154"/>
      <c r="U262" s="154"/>
      <c r="V262" s="154"/>
      <c r="W262" s="154"/>
      <c r="X262" s="154"/>
      <c r="Y262" s="154"/>
      <c r="Z262" s="154"/>
      <c r="AA262" s="154"/>
      <c r="AB262" s="154"/>
      <c r="AC262" s="154"/>
      <c r="AD262" s="154"/>
      <c r="AE262" s="154"/>
      <c r="AF262" s="154"/>
      <c r="AG262" s="154"/>
      <c r="AH262" s="154"/>
      <c r="AI262" s="155"/>
    </row>
    <row r="263" spans="1:35" s="16" customFormat="1" ht="15.75">
      <c r="A263" s="17"/>
      <c r="B263" s="6"/>
      <c r="C263" s="44"/>
      <c r="P263" s="230"/>
      <c r="Q263" s="154"/>
      <c r="R263" s="154"/>
      <c r="S263" s="154"/>
      <c r="T263" s="154"/>
      <c r="U263" s="154"/>
      <c r="V263" s="154"/>
      <c r="W263" s="154"/>
      <c r="X263" s="154"/>
      <c r="Y263" s="154"/>
      <c r="Z263" s="154"/>
      <c r="AA263" s="154"/>
      <c r="AB263" s="154"/>
      <c r="AC263" s="154"/>
      <c r="AD263" s="154"/>
      <c r="AE263" s="154"/>
      <c r="AF263" s="154"/>
      <c r="AG263" s="154"/>
      <c r="AH263" s="154"/>
      <c r="AI263" s="155"/>
    </row>
    <row r="264" spans="1:35" s="16" customFormat="1" ht="15.75">
      <c r="A264" s="17"/>
      <c r="B264" s="6"/>
      <c r="C264" s="44"/>
      <c r="P264" s="230"/>
      <c r="Q264" s="154"/>
      <c r="R264" s="154"/>
      <c r="S264" s="154"/>
      <c r="T264" s="154"/>
      <c r="U264" s="154"/>
      <c r="V264" s="154"/>
      <c r="W264" s="154"/>
      <c r="X264" s="154"/>
      <c r="Y264" s="154"/>
      <c r="Z264" s="154"/>
      <c r="AA264" s="154"/>
      <c r="AB264" s="154"/>
      <c r="AC264" s="154"/>
      <c r="AD264" s="154"/>
      <c r="AE264" s="154"/>
      <c r="AF264" s="154"/>
      <c r="AG264" s="154"/>
      <c r="AH264" s="154"/>
      <c r="AI264" s="155"/>
    </row>
    <row r="265" spans="1:35" s="16" customFormat="1" ht="15.75">
      <c r="A265" s="17"/>
      <c r="B265" s="6"/>
      <c r="C265" s="44"/>
      <c r="P265" s="230"/>
      <c r="Q265" s="154"/>
      <c r="R265" s="154"/>
      <c r="S265" s="154"/>
      <c r="T265" s="154"/>
      <c r="U265" s="154"/>
      <c r="V265" s="154"/>
      <c r="W265" s="154"/>
      <c r="X265" s="154"/>
      <c r="Y265" s="154"/>
      <c r="Z265" s="154"/>
      <c r="AA265" s="154"/>
      <c r="AB265" s="154"/>
      <c r="AC265" s="154"/>
      <c r="AD265" s="154"/>
      <c r="AE265" s="154"/>
      <c r="AF265" s="154"/>
      <c r="AG265" s="154"/>
      <c r="AH265" s="154"/>
      <c r="AI265" s="155"/>
    </row>
    <row r="266" spans="1:35" s="16" customFormat="1" ht="15.75">
      <c r="A266" s="17"/>
      <c r="B266" s="6"/>
      <c r="C266" s="44"/>
      <c r="P266" s="230"/>
      <c r="Q266" s="154"/>
      <c r="R266" s="154"/>
      <c r="S266" s="154"/>
      <c r="T266" s="154"/>
      <c r="U266" s="154"/>
      <c r="V266" s="154"/>
      <c r="W266" s="154"/>
      <c r="X266" s="154"/>
      <c r="Y266" s="154"/>
      <c r="Z266" s="154"/>
      <c r="AA266" s="154"/>
      <c r="AB266" s="154"/>
      <c r="AC266" s="154"/>
      <c r="AD266" s="154"/>
      <c r="AE266" s="154"/>
      <c r="AF266" s="154"/>
      <c r="AG266" s="154"/>
      <c r="AH266" s="154"/>
      <c r="AI266" s="155"/>
    </row>
    <row r="267" spans="1:35" s="16" customFormat="1" ht="15.75">
      <c r="A267" s="17"/>
      <c r="B267" s="6"/>
      <c r="C267" s="44"/>
      <c r="P267" s="230"/>
      <c r="Q267" s="154"/>
      <c r="R267" s="154"/>
      <c r="S267" s="154"/>
      <c r="T267" s="154"/>
      <c r="U267" s="154"/>
      <c r="V267" s="154"/>
      <c r="W267" s="154"/>
      <c r="X267" s="154"/>
      <c r="Y267" s="154"/>
      <c r="Z267" s="154"/>
      <c r="AA267" s="154"/>
      <c r="AB267" s="154"/>
      <c r="AC267" s="154"/>
      <c r="AD267" s="154"/>
      <c r="AE267" s="154"/>
      <c r="AF267" s="154"/>
      <c r="AG267" s="154"/>
      <c r="AH267" s="154"/>
      <c r="AI267" s="155"/>
    </row>
    <row r="268" spans="1:35" s="16" customFormat="1" ht="15.75">
      <c r="A268" s="17"/>
      <c r="B268" s="6"/>
      <c r="C268" s="44"/>
      <c r="P268" s="230"/>
      <c r="Q268" s="154"/>
      <c r="R268" s="154"/>
      <c r="S268" s="154"/>
      <c r="T268" s="154"/>
      <c r="U268" s="154"/>
      <c r="V268" s="154"/>
      <c r="W268" s="154"/>
      <c r="X268" s="154"/>
      <c r="Y268" s="154"/>
      <c r="Z268" s="154"/>
      <c r="AA268" s="154"/>
      <c r="AB268" s="154"/>
      <c r="AC268" s="154"/>
      <c r="AD268" s="154"/>
      <c r="AE268" s="154"/>
      <c r="AF268" s="154"/>
      <c r="AG268" s="154"/>
      <c r="AH268" s="154"/>
      <c r="AI268" s="155"/>
    </row>
    <row r="269" spans="1:35" s="16" customFormat="1" ht="15.75">
      <c r="A269" s="17"/>
      <c r="B269" s="6"/>
      <c r="C269" s="44"/>
      <c r="P269" s="230"/>
      <c r="Q269" s="154"/>
      <c r="R269" s="154"/>
      <c r="S269" s="154"/>
      <c r="T269" s="154"/>
      <c r="U269" s="154"/>
      <c r="V269" s="154"/>
      <c r="W269" s="154"/>
      <c r="X269" s="154"/>
      <c r="Y269" s="154"/>
      <c r="Z269" s="154"/>
      <c r="AA269" s="154"/>
      <c r="AB269" s="154"/>
      <c r="AC269" s="154"/>
      <c r="AD269" s="154"/>
      <c r="AE269" s="154"/>
      <c r="AF269" s="154"/>
      <c r="AG269" s="154"/>
      <c r="AH269" s="154"/>
      <c r="AI269" s="155"/>
    </row>
    <row r="270" spans="1:35" s="16" customFormat="1" ht="15.75">
      <c r="A270" s="17"/>
      <c r="B270" s="6"/>
      <c r="C270" s="44"/>
      <c r="P270" s="230"/>
      <c r="Q270" s="154"/>
      <c r="R270" s="154"/>
      <c r="S270" s="154"/>
      <c r="T270" s="154"/>
      <c r="U270" s="154"/>
      <c r="V270" s="154"/>
      <c r="W270" s="154"/>
      <c r="X270" s="154"/>
      <c r="Y270" s="154"/>
      <c r="Z270" s="154"/>
      <c r="AA270" s="154"/>
      <c r="AB270" s="154"/>
      <c r="AC270" s="154"/>
      <c r="AD270" s="154"/>
      <c r="AE270" s="154"/>
      <c r="AF270" s="154"/>
      <c r="AG270" s="154"/>
      <c r="AH270" s="154"/>
      <c r="AI270" s="155"/>
    </row>
    <row r="271" spans="1:35" s="16" customFormat="1" ht="15.75">
      <c r="A271" s="17"/>
      <c r="B271" s="6"/>
      <c r="C271" s="44"/>
      <c r="P271" s="230"/>
      <c r="Q271" s="154"/>
      <c r="R271" s="154"/>
      <c r="S271" s="154"/>
      <c r="T271" s="154"/>
      <c r="U271" s="154"/>
      <c r="V271" s="154"/>
      <c r="W271" s="154"/>
      <c r="X271" s="154"/>
      <c r="Y271" s="154"/>
      <c r="Z271" s="154"/>
      <c r="AA271" s="154"/>
      <c r="AB271" s="154"/>
      <c r="AC271" s="154"/>
      <c r="AD271" s="154"/>
      <c r="AE271" s="154"/>
      <c r="AF271" s="154"/>
      <c r="AG271" s="154"/>
      <c r="AH271" s="154"/>
      <c r="AI271" s="155"/>
    </row>
    <row r="272" spans="1:35" s="16" customFormat="1" ht="15.75">
      <c r="A272" s="17"/>
      <c r="B272" s="6"/>
      <c r="C272" s="44"/>
      <c r="P272" s="230"/>
      <c r="Q272" s="154"/>
      <c r="R272" s="154"/>
      <c r="S272" s="154"/>
      <c r="T272" s="154"/>
      <c r="U272" s="154"/>
      <c r="V272" s="154"/>
      <c r="W272" s="154"/>
      <c r="X272" s="154"/>
      <c r="Y272" s="154"/>
      <c r="Z272" s="154"/>
      <c r="AA272" s="154"/>
      <c r="AB272" s="154"/>
      <c r="AC272" s="154"/>
      <c r="AD272" s="154"/>
      <c r="AE272" s="154"/>
      <c r="AF272" s="154"/>
      <c r="AG272" s="154"/>
      <c r="AH272" s="154"/>
      <c r="AI272" s="155"/>
    </row>
    <row r="273" spans="1:35" s="16" customFormat="1" ht="15.75">
      <c r="A273" s="17"/>
      <c r="B273" s="6"/>
      <c r="C273" s="44"/>
      <c r="P273" s="230"/>
      <c r="Q273" s="154"/>
      <c r="R273" s="154"/>
      <c r="S273" s="154"/>
      <c r="T273" s="154"/>
      <c r="U273" s="154"/>
      <c r="V273" s="154"/>
      <c r="W273" s="154"/>
      <c r="X273" s="154"/>
      <c r="Y273" s="154"/>
      <c r="Z273" s="154"/>
      <c r="AA273" s="154"/>
      <c r="AB273" s="154"/>
      <c r="AC273" s="154"/>
      <c r="AD273" s="154"/>
      <c r="AE273" s="154"/>
      <c r="AF273" s="154"/>
      <c r="AG273" s="154"/>
      <c r="AH273" s="154"/>
      <c r="AI273" s="155"/>
    </row>
    <row r="274" spans="1:35" s="16" customFormat="1" ht="15.75">
      <c r="A274" s="17"/>
      <c r="B274" s="6"/>
      <c r="C274" s="44"/>
      <c r="P274" s="230"/>
      <c r="Q274" s="154"/>
      <c r="R274" s="154"/>
      <c r="S274" s="154"/>
      <c r="T274" s="154"/>
      <c r="U274" s="154"/>
      <c r="V274" s="154"/>
      <c r="W274" s="154"/>
      <c r="X274" s="154"/>
      <c r="Y274" s="154"/>
      <c r="Z274" s="154"/>
      <c r="AA274" s="154"/>
      <c r="AB274" s="154"/>
      <c r="AC274" s="154"/>
      <c r="AD274" s="154"/>
      <c r="AE274" s="154"/>
      <c r="AF274" s="154"/>
      <c r="AG274" s="154"/>
      <c r="AH274" s="154"/>
      <c r="AI274" s="155"/>
    </row>
    <row r="275" spans="1:35" s="16" customFormat="1" ht="15.75">
      <c r="A275" s="17"/>
      <c r="B275" s="6"/>
      <c r="C275" s="44"/>
      <c r="P275" s="230"/>
      <c r="Q275" s="154"/>
      <c r="R275" s="154"/>
      <c r="S275" s="154"/>
      <c r="T275" s="154"/>
      <c r="U275" s="154"/>
      <c r="V275" s="154"/>
      <c r="W275" s="154"/>
      <c r="X275" s="154"/>
      <c r="Y275" s="154"/>
      <c r="Z275" s="154"/>
      <c r="AA275" s="154"/>
      <c r="AB275" s="154"/>
      <c r="AC275" s="154"/>
      <c r="AD275" s="154"/>
      <c r="AE275" s="154"/>
      <c r="AF275" s="154"/>
      <c r="AG275" s="154"/>
      <c r="AH275" s="154"/>
      <c r="AI275" s="155"/>
    </row>
    <row r="276" spans="1:35" s="16" customFormat="1" ht="15.75">
      <c r="A276" s="17"/>
      <c r="B276" s="6"/>
      <c r="C276" s="44"/>
      <c r="P276" s="230"/>
      <c r="Q276" s="154"/>
      <c r="R276" s="154"/>
      <c r="S276" s="154"/>
      <c r="T276" s="154"/>
      <c r="U276" s="154"/>
      <c r="V276" s="154"/>
      <c r="W276" s="154"/>
      <c r="X276" s="154"/>
      <c r="Y276" s="154"/>
      <c r="Z276" s="154"/>
      <c r="AA276" s="154"/>
      <c r="AB276" s="154"/>
      <c r="AC276" s="154"/>
      <c r="AD276" s="154"/>
      <c r="AE276" s="154"/>
      <c r="AF276" s="154"/>
      <c r="AG276" s="154"/>
      <c r="AH276" s="154"/>
      <c r="AI276" s="155"/>
    </row>
    <row r="277" spans="1:35" s="16" customFormat="1" ht="15.75">
      <c r="A277" s="17"/>
      <c r="B277" s="6"/>
      <c r="C277" s="44"/>
      <c r="P277" s="230"/>
      <c r="Q277" s="154"/>
      <c r="R277" s="154"/>
      <c r="S277" s="154"/>
      <c r="T277" s="154"/>
      <c r="U277" s="154"/>
      <c r="V277" s="154"/>
      <c r="W277" s="154"/>
      <c r="X277" s="154"/>
      <c r="Y277" s="154"/>
      <c r="Z277" s="154"/>
      <c r="AA277" s="154"/>
      <c r="AB277" s="154"/>
      <c r="AC277" s="154"/>
      <c r="AD277" s="154"/>
      <c r="AE277" s="154"/>
      <c r="AF277" s="154"/>
      <c r="AG277" s="154"/>
      <c r="AH277" s="154"/>
      <c r="AI277" s="155"/>
    </row>
    <row r="278" spans="1:35" s="16" customFormat="1" ht="15.75">
      <c r="A278" s="17"/>
      <c r="B278" s="6"/>
      <c r="C278" s="44"/>
      <c r="P278" s="230"/>
      <c r="Q278" s="154"/>
      <c r="R278" s="154"/>
      <c r="S278" s="154"/>
      <c r="T278" s="154"/>
      <c r="U278" s="154"/>
      <c r="V278" s="154"/>
      <c r="W278" s="154"/>
      <c r="X278" s="154"/>
      <c r="Y278" s="154"/>
      <c r="Z278" s="154"/>
      <c r="AA278" s="154"/>
      <c r="AB278" s="154"/>
      <c r="AC278" s="154"/>
      <c r="AD278" s="154"/>
      <c r="AE278" s="154"/>
      <c r="AF278" s="154"/>
      <c r="AG278" s="154"/>
      <c r="AH278" s="154"/>
      <c r="AI278" s="155"/>
    </row>
    <row r="279" spans="1:35" s="16" customFormat="1" ht="15.75">
      <c r="A279" s="17"/>
      <c r="B279" s="6"/>
      <c r="C279" s="44"/>
      <c r="P279" s="230"/>
      <c r="Q279" s="154"/>
      <c r="R279" s="154"/>
      <c r="S279" s="154"/>
      <c r="T279" s="154"/>
      <c r="U279" s="154"/>
      <c r="V279" s="154"/>
      <c r="W279" s="154"/>
      <c r="X279" s="154"/>
      <c r="Y279" s="154"/>
      <c r="Z279" s="154"/>
      <c r="AA279" s="154"/>
      <c r="AB279" s="154"/>
      <c r="AC279" s="154"/>
      <c r="AD279" s="154"/>
      <c r="AE279" s="154"/>
      <c r="AF279" s="154"/>
      <c r="AG279" s="154"/>
      <c r="AH279" s="154"/>
      <c r="AI279" s="155"/>
    </row>
    <row r="280" spans="1:35" s="16" customFormat="1" ht="15.75">
      <c r="A280" s="17"/>
      <c r="B280" s="6"/>
      <c r="C280" s="44"/>
      <c r="P280" s="230"/>
      <c r="Q280" s="154"/>
      <c r="R280" s="154"/>
      <c r="S280" s="154"/>
      <c r="T280" s="154"/>
      <c r="U280" s="154"/>
      <c r="V280" s="154"/>
      <c r="W280" s="154"/>
      <c r="X280" s="154"/>
      <c r="Y280" s="154"/>
      <c r="Z280" s="154"/>
      <c r="AA280" s="154"/>
      <c r="AB280" s="154"/>
      <c r="AC280" s="154"/>
      <c r="AD280" s="154"/>
      <c r="AE280" s="154"/>
      <c r="AF280" s="154"/>
      <c r="AG280" s="154"/>
      <c r="AH280" s="154"/>
      <c r="AI280" s="155"/>
    </row>
    <row r="281" spans="1:35" s="16" customFormat="1" ht="15.75">
      <c r="A281" s="17"/>
      <c r="B281" s="6"/>
      <c r="C281" s="44"/>
      <c r="P281" s="230"/>
      <c r="Q281" s="154"/>
      <c r="R281" s="154"/>
      <c r="S281" s="154"/>
      <c r="T281" s="154"/>
      <c r="U281" s="154"/>
      <c r="V281" s="154"/>
      <c r="W281" s="154"/>
      <c r="X281" s="154"/>
      <c r="Y281" s="154"/>
      <c r="Z281" s="154"/>
      <c r="AA281" s="154"/>
      <c r="AB281" s="154"/>
      <c r="AC281" s="154"/>
      <c r="AD281" s="154"/>
      <c r="AE281" s="154"/>
      <c r="AF281" s="154"/>
      <c r="AG281" s="154"/>
      <c r="AH281" s="154"/>
      <c r="AI281" s="155"/>
    </row>
    <row r="282" spans="1:35" s="16" customFormat="1" ht="15.75">
      <c r="A282" s="17"/>
      <c r="B282" s="6"/>
      <c r="C282" s="44"/>
      <c r="P282" s="230"/>
      <c r="Q282" s="154"/>
      <c r="R282" s="154"/>
      <c r="S282" s="154"/>
      <c r="T282" s="154"/>
      <c r="U282" s="154"/>
      <c r="V282" s="154"/>
      <c r="W282" s="154"/>
      <c r="X282" s="154"/>
      <c r="Y282" s="154"/>
      <c r="Z282" s="154"/>
      <c r="AA282" s="154"/>
      <c r="AB282" s="154"/>
      <c r="AC282" s="154"/>
      <c r="AD282" s="154"/>
      <c r="AE282" s="154"/>
      <c r="AF282" s="154"/>
      <c r="AG282" s="154"/>
      <c r="AH282" s="154"/>
      <c r="AI282" s="155"/>
    </row>
    <row r="283" spans="1:35" s="16" customFormat="1" ht="15.75">
      <c r="A283" s="17"/>
      <c r="B283" s="6"/>
      <c r="C283" s="44"/>
      <c r="P283" s="230"/>
      <c r="Q283" s="154"/>
      <c r="R283" s="154"/>
      <c r="S283" s="154"/>
      <c r="T283" s="154"/>
      <c r="U283" s="154"/>
      <c r="V283" s="154"/>
      <c r="W283" s="154"/>
      <c r="X283" s="154"/>
      <c r="Y283" s="154"/>
      <c r="Z283" s="154"/>
      <c r="AA283" s="154"/>
      <c r="AB283" s="154"/>
      <c r="AC283" s="154"/>
      <c r="AD283" s="154"/>
      <c r="AE283" s="154"/>
      <c r="AF283" s="154"/>
      <c r="AG283" s="154"/>
      <c r="AH283" s="154"/>
      <c r="AI283" s="155"/>
    </row>
    <row r="284" spans="1:35" s="16" customFormat="1" ht="15.75">
      <c r="A284" s="17"/>
      <c r="B284" s="6"/>
      <c r="C284" s="44"/>
      <c r="P284" s="230"/>
      <c r="Q284" s="154"/>
      <c r="R284" s="154"/>
      <c r="S284" s="154"/>
      <c r="T284" s="154"/>
      <c r="U284" s="154"/>
      <c r="V284" s="154"/>
      <c r="W284" s="154"/>
      <c r="X284" s="154"/>
      <c r="Y284" s="154"/>
      <c r="Z284" s="154"/>
      <c r="AA284" s="154"/>
      <c r="AB284" s="154"/>
      <c r="AC284" s="154"/>
      <c r="AD284" s="154"/>
      <c r="AE284" s="154"/>
      <c r="AF284" s="154"/>
      <c r="AG284" s="154"/>
      <c r="AH284" s="154"/>
      <c r="AI284" s="155"/>
    </row>
    <row r="285" spans="1:35" s="16" customFormat="1" ht="15.75">
      <c r="A285" s="17"/>
      <c r="B285" s="6"/>
      <c r="C285" s="44"/>
      <c r="P285" s="230"/>
      <c r="Q285" s="154"/>
      <c r="R285" s="154"/>
      <c r="S285" s="154"/>
      <c r="T285" s="154"/>
      <c r="U285" s="154"/>
      <c r="V285" s="154"/>
      <c r="W285" s="154"/>
      <c r="X285" s="154"/>
      <c r="Y285" s="154"/>
      <c r="Z285" s="154"/>
      <c r="AA285" s="154"/>
      <c r="AB285" s="154"/>
      <c r="AC285" s="154"/>
      <c r="AD285" s="154"/>
      <c r="AE285" s="154"/>
      <c r="AF285" s="154"/>
      <c r="AG285" s="154"/>
      <c r="AH285" s="154"/>
      <c r="AI285" s="155"/>
    </row>
    <row r="286" spans="1:35" s="16" customFormat="1" ht="15.75">
      <c r="A286" s="17"/>
      <c r="B286" s="6"/>
      <c r="C286" s="44"/>
      <c r="P286" s="230"/>
      <c r="Q286" s="154"/>
      <c r="R286" s="154"/>
      <c r="S286" s="154"/>
      <c r="T286" s="154"/>
      <c r="U286" s="154"/>
      <c r="V286" s="154"/>
      <c r="W286" s="154"/>
      <c r="X286" s="154"/>
      <c r="Y286" s="154"/>
      <c r="Z286" s="154"/>
      <c r="AA286" s="154"/>
      <c r="AB286" s="154"/>
      <c r="AC286" s="154"/>
      <c r="AD286" s="154"/>
      <c r="AE286" s="154"/>
      <c r="AF286" s="154"/>
      <c r="AG286" s="154"/>
      <c r="AH286" s="154"/>
      <c r="AI286" s="155"/>
    </row>
    <row r="287" spans="1:35" s="16" customFormat="1" ht="15.75">
      <c r="A287" s="17"/>
      <c r="B287" s="6"/>
      <c r="C287" s="44"/>
      <c r="P287" s="230"/>
      <c r="Q287" s="154"/>
      <c r="R287" s="154"/>
      <c r="S287" s="154"/>
      <c r="T287" s="154"/>
      <c r="U287" s="154"/>
      <c r="V287" s="154"/>
      <c r="W287" s="154"/>
      <c r="X287" s="154"/>
      <c r="Y287" s="154"/>
      <c r="Z287" s="154"/>
      <c r="AA287" s="154"/>
      <c r="AB287" s="154"/>
      <c r="AC287" s="154"/>
      <c r="AD287" s="154"/>
      <c r="AE287" s="154"/>
      <c r="AF287" s="154"/>
      <c r="AG287" s="154"/>
      <c r="AH287" s="154"/>
      <c r="AI287" s="155"/>
    </row>
    <row r="288" spans="1:35" s="16" customFormat="1" ht="15.75">
      <c r="A288" s="17"/>
      <c r="B288" s="6"/>
      <c r="C288" s="44"/>
      <c r="P288" s="230"/>
      <c r="Q288" s="154"/>
      <c r="R288" s="154"/>
      <c r="S288" s="154"/>
      <c r="T288" s="154"/>
      <c r="U288" s="154"/>
      <c r="V288" s="154"/>
      <c r="W288" s="154"/>
      <c r="X288" s="154"/>
      <c r="Y288" s="154"/>
      <c r="Z288" s="154"/>
      <c r="AA288" s="154"/>
      <c r="AB288" s="154"/>
      <c r="AC288" s="154"/>
      <c r="AD288" s="154"/>
      <c r="AE288" s="154"/>
      <c r="AF288" s="154"/>
      <c r="AG288" s="154"/>
      <c r="AH288" s="154"/>
      <c r="AI288" s="155"/>
    </row>
    <row r="289" spans="1:35" s="16" customFormat="1" ht="15.75">
      <c r="A289" s="17"/>
      <c r="B289" s="6"/>
      <c r="C289" s="44"/>
      <c r="P289" s="230"/>
      <c r="Q289" s="154"/>
      <c r="R289" s="154"/>
      <c r="S289" s="154"/>
      <c r="T289" s="154"/>
      <c r="U289" s="154"/>
      <c r="V289" s="154"/>
      <c r="W289" s="154"/>
      <c r="X289" s="154"/>
      <c r="Y289" s="154"/>
      <c r="Z289" s="154"/>
      <c r="AA289" s="154"/>
      <c r="AB289" s="154"/>
      <c r="AC289" s="154"/>
      <c r="AD289" s="154"/>
      <c r="AE289" s="154"/>
      <c r="AF289" s="154"/>
      <c r="AG289" s="154"/>
      <c r="AH289" s="154"/>
      <c r="AI289" s="155"/>
    </row>
    <row r="290" spans="1:35" s="16" customFormat="1" ht="15.75">
      <c r="A290" s="17"/>
      <c r="B290" s="6"/>
      <c r="C290" s="44"/>
      <c r="P290" s="230"/>
      <c r="Q290" s="154"/>
      <c r="R290" s="154"/>
      <c r="S290" s="154"/>
      <c r="T290" s="154"/>
      <c r="U290" s="154"/>
      <c r="V290" s="154"/>
      <c r="W290" s="154"/>
      <c r="X290" s="154"/>
      <c r="Y290" s="154"/>
      <c r="Z290" s="154"/>
      <c r="AA290" s="154"/>
      <c r="AB290" s="154"/>
      <c r="AC290" s="154"/>
      <c r="AD290" s="154"/>
      <c r="AE290" s="154"/>
      <c r="AF290" s="154"/>
      <c r="AG290" s="154"/>
      <c r="AH290" s="154"/>
      <c r="AI290" s="155"/>
    </row>
    <row r="291" spans="1:35" s="16" customFormat="1" ht="15.75">
      <c r="A291" s="17"/>
      <c r="B291" s="6"/>
      <c r="C291" s="44"/>
      <c r="P291" s="230"/>
      <c r="Q291" s="154"/>
      <c r="R291" s="154"/>
      <c r="S291" s="154"/>
      <c r="T291" s="154"/>
      <c r="U291" s="154"/>
      <c r="V291" s="154"/>
      <c r="W291" s="154"/>
      <c r="X291" s="154"/>
      <c r="Y291" s="154"/>
      <c r="Z291" s="154"/>
      <c r="AA291" s="154"/>
      <c r="AB291" s="154"/>
      <c r="AC291" s="154"/>
      <c r="AD291" s="154"/>
      <c r="AE291" s="154"/>
      <c r="AF291" s="154"/>
      <c r="AG291" s="154"/>
      <c r="AH291" s="154"/>
      <c r="AI291" s="155"/>
    </row>
    <row r="292" spans="1:35" s="16" customFormat="1" ht="15.75">
      <c r="A292" s="17"/>
      <c r="B292" s="6"/>
      <c r="C292" s="44"/>
      <c r="P292" s="230"/>
      <c r="Q292" s="154"/>
      <c r="R292" s="154"/>
      <c r="S292" s="154"/>
      <c r="T292" s="154"/>
      <c r="U292" s="154"/>
      <c r="V292" s="154"/>
      <c r="W292" s="154"/>
      <c r="X292" s="154"/>
      <c r="Y292" s="154"/>
      <c r="Z292" s="154"/>
      <c r="AA292" s="154"/>
      <c r="AB292" s="154"/>
      <c r="AC292" s="154"/>
      <c r="AD292" s="154"/>
      <c r="AE292" s="154"/>
      <c r="AF292" s="154"/>
      <c r="AG292" s="154"/>
      <c r="AH292" s="154"/>
      <c r="AI292" s="155"/>
    </row>
    <row r="293" spans="1:35" s="16" customFormat="1" ht="15.75">
      <c r="A293" s="17"/>
      <c r="B293" s="6"/>
      <c r="C293" s="44"/>
      <c r="P293" s="230"/>
      <c r="Q293" s="154"/>
      <c r="R293" s="154"/>
      <c r="S293" s="154"/>
      <c r="T293" s="154"/>
      <c r="U293" s="154"/>
      <c r="V293" s="154"/>
      <c r="W293" s="154"/>
      <c r="X293" s="154"/>
      <c r="Y293" s="154"/>
      <c r="Z293" s="154"/>
      <c r="AA293" s="154"/>
      <c r="AB293" s="154"/>
      <c r="AC293" s="154"/>
      <c r="AD293" s="154"/>
      <c r="AE293" s="154"/>
      <c r="AF293" s="154"/>
      <c r="AG293" s="154"/>
      <c r="AH293" s="154"/>
      <c r="AI293" s="155"/>
    </row>
    <row r="294" spans="1:35" s="16" customFormat="1" ht="15.75">
      <c r="A294" s="17"/>
      <c r="B294" s="6"/>
      <c r="C294" s="44"/>
      <c r="P294" s="230"/>
      <c r="Q294" s="154"/>
      <c r="R294" s="154"/>
      <c r="S294" s="154"/>
      <c r="T294" s="154"/>
      <c r="U294" s="154"/>
      <c r="V294" s="154"/>
      <c r="W294" s="154"/>
      <c r="X294" s="154"/>
      <c r="Y294" s="154"/>
      <c r="Z294" s="154"/>
      <c r="AA294" s="154"/>
      <c r="AB294" s="154"/>
      <c r="AC294" s="154"/>
      <c r="AD294" s="154"/>
      <c r="AE294" s="154"/>
      <c r="AF294" s="154"/>
      <c r="AG294" s="154"/>
      <c r="AH294" s="154"/>
      <c r="AI294" s="155"/>
    </row>
    <row r="295" spans="1:35" s="16" customFormat="1" ht="15.75">
      <c r="A295" s="17"/>
      <c r="B295" s="6"/>
      <c r="C295" s="44"/>
      <c r="P295" s="230"/>
      <c r="Q295" s="154"/>
      <c r="R295" s="154"/>
      <c r="S295" s="154"/>
      <c r="T295" s="154"/>
      <c r="U295" s="154"/>
      <c r="V295" s="154"/>
      <c r="W295" s="154"/>
      <c r="X295" s="154"/>
      <c r="Y295" s="154"/>
      <c r="Z295" s="154"/>
      <c r="AA295" s="154"/>
      <c r="AB295" s="154"/>
      <c r="AC295" s="154"/>
      <c r="AD295" s="154"/>
      <c r="AE295" s="154"/>
      <c r="AF295" s="154"/>
      <c r="AG295" s="154"/>
      <c r="AH295" s="154"/>
      <c r="AI295" s="155"/>
    </row>
    <row r="296" spans="1:35" s="16" customFormat="1" ht="15.75">
      <c r="A296" s="17"/>
      <c r="B296" s="6"/>
      <c r="C296" s="44"/>
      <c r="P296" s="230"/>
      <c r="Q296" s="154"/>
      <c r="R296" s="154"/>
      <c r="S296" s="154"/>
      <c r="T296" s="154"/>
      <c r="U296" s="154"/>
      <c r="V296" s="154"/>
      <c r="W296" s="154"/>
      <c r="X296" s="154"/>
      <c r="Y296" s="154"/>
      <c r="Z296" s="154"/>
      <c r="AA296" s="154"/>
      <c r="AB296" s="154"/>
      <c r="AC296" s="154"/>
      <c r="AD296" s="154"/>
      <c r="AE296" s="154"/>
      <c r="AF296" s="154"/>
      <c r="AG296" s="154"/>
      <c r="AH296" s="154"/>
      <c r="AI296" s="155"/>
    </row>
    <row r="297" spans="1:35" s="16" customFormat="1" ht="15.75">
      <c r="A297" s="17"/>
      <c r="B297" s="6"/>
      <c r="C297" s="44"/>
      <c r="P297" s="230"/>
      <c r="Q297" s="154"/>
      <c r="R297" s="154"/>
      <c r="S297" s="154"/>
      <c r="T297" s="154"/>
      <c r="U297" s="154"/>
      <c r="V297" s="154"/>
      <c r="W297" s="154"/>
      <c r="X297" s="154"/>
      <c r="Y297" s="154"/>
      <c r="Z297" s="154"/>
      <c r="AA297" s="154"/>
      <c r="AB297" s="154"/>
      <c r="AC297" s="154"/>
      <c r="AD297" s="154"/>
      <c r="AE297" s="154"/>
      <c r="AF297" s="154"/>
      <c r="AG297" s="154"/>
      <c r="AH297" s="154"/>
      <c r="AI297" s="155"/>
    </row>
    <row r="298" spans="1:35" s="16" customFormat="1" ht="15.75">
      <c r="A298" s="17"/>
      <c r="B298" s="6"/>
      <c r="C298" s="44"/>
      <c r="P298" s="230"/>
      <c r="Q298" s="154"/>
      <c r="R298" s="154"/>
      <c r="S298" s="154"/>
      <c r="T298" s="154"/>
      <c r="U298" s="154"/>
      <c r="V298" s="154"/>
      <c r="W298" s="154"/>
      <c r="X298" s="154"/>
      <c r="Y298" s="154"/>
      <c r="Z298" s="154"/>
      <c r="AA298" s="154"/>
      <c r="AB298" s="154"/>
      <c r="AC298" s="154"/>
      <c r="AD298" s="154"/>
      <c r="AE298" s="154"/>
      <c r="AF298" s="154"/>
      <c r="AG298" s="154"/>
      <c r="AH298" s="154"/>
      <c r="AI298" s="155"/>
    </row>
    <row r="299" spans="1:35" s="16" customFormat="1" ht="15.75">
      <c r="A299" s="17"/>
      <c r="B299" s="6"/>
      <c r="C299" s="44"/>
      <c r="P299" s="230"/>
      <c r="Q299" s="154"/>
      <c r="R299" s="154"/>
      <c r="S299" s="154"/>
      <c r="T299" s="154"/>
      <c r="U299" s="154"/>
      <c r="V299" s="154"/>
      <c r="W299" s="154"/>
      <c r="X299" s="154"/>
      <c r="Y299" s="154"/>
      <c r="Z299" s="154"/>
      <c r="AA299" s="154"/>
      <c r="AB299" s="154"/>
      <c r="AC299" s="154"/>
      <c r="AD299" s="154"/>
      <c r="AE299" s="154"/>
      <c r="AF299" s="154"/>
      <c r="AG299" s="154"/>
      <c r="AH299" s="154"/>
      <c r="AI299" s="155"/>
    </row>
    <row r="300" spans="1:35" s="16" customFormat="1" ht="15.75">
      <c r="A300" s="17"/>
      <c r="B300" s="6"/>
      <c r="C300" s="44"/>
      <c r="P300" s="230"/>
      <c r="Q300" s="154"/>
      <c r="R300" s="154"/>
      <c r="S300" s="154"/>
      <c r="T300" s="154"/>
      <c r="U300" s="154"/>
      <c r="V300" s="154"/>
      <c r="W300" s="154"/>
      <c r="X300" s="154"/>
      <c r="Y300" s="154"/>
      <c r="Z300" s="154"/>
      <c r="AA300" s="154"/>
      <c r="AB300" s="154"/>
      <c r="AC300" s="154"/>
      <c r="AD300" s="154"/>
      <c r="AE300" s="154"/>
      <c r="AF300" s="154"/>
      <c r="AG300" s="154"/>
      <c r="AH300" s="154"/>
      <c r="AI300" s="155"/>
    </row>
    <row r="301" spans="1:35" s="16" customFormat="1" ht="15.75">
      <c r="A301" s="17"/>
      <c r="B301" s="6"/>
      <c r="C301" s="44"/>
      <c r="P301" s="230"/>
      <c r="Q301" s="154"/>
      <c r="R301" s="154"/>
      <c r="S301" s="154"/>
      <c r="T301" s="154"/>
      <c r="U301" s="154"/>
      <c r="V301" s="154"/>
      <c r="W301" s="154"/>
      <c r="X301" s="154"/>
      <c r="Y301" s="154"/>
      <c r="Z301" s="154"/>
      <c r="AA301" s="154"/>
      <c r="AB301" s="154"/>
      <c r="AC301" s="154"/>
      <c r="AD301" s="154"/>
      <c r="AE301" s="154"/>
      <c r="AF301" s="154"/>
      <c r="AG301" s="154"/>
      <c r="AH301" s="154"/>
      <c r="AI301" s="155"/>
    </row>
    <row r="302" spans="1:35" s="16" customFormat="1" ht="15.75">
      <c r="A302" s="17"/>
      <c r="B302" s="6"/>
      <c r="C302" s="44"/>
      <c r="P302" s="230"/>
      <c r="Q302" s="154"/>
      <c r="R302" s="154"/>
      <c r="S302" s="154"/>
      <c r="T302" s="154"/>
      <c r="U302" s="154"/>
      <c r="V302" s="154"/>
      <c r="W302" s="154"/>
      <c r="X302" s="154"/>
      <c r="Y302" s="154"/>
      <c r="Z302" s="154"/>
      <c r="AA302" s="154"/>
      <c r="AB302" s="154"/>
      <c r="AC302" s="154"/>
      <c r="AD302" s="154"/>
      <c r="AE302" s="154"/>
      <c r="AF302" s="154"/>
      <c r="AG302" s="154"/>
      <c r="AH302" s="154"/>
      <c r="AI302" s="155"/>
    </row>
    <row r="303" spans="1:35" s="16" customFormat="1" ht="15.75">
      <c r="A303" s="17"/>
      <c r="B303" s="6"/>
      <c r="C303" s="44"/>
      <c r="P303" s="230"/>
      <c r="Q303" s="154"/>
      <c r="R303" s="154"/>
      <c r="S303" s="154"/>
      <c r="T303" s="154"/>
      <c r="U303" s="154"/>
      <c r="V303" s="154"/>
      <c r="W303" s="154"/>
      <c r="X303" s="154"/>
      <c r="Y303" s="154"/>
      <c r="Z303" s="154"/>
      <c r="AA303" s="154"/>
      <c r="AB303" s="154"/>
      <c r="AC303" s="154"/>
      <c r="AD303" s="154"/>
      <c r="AE303" s="154"/>
      <c r="AF303" s="154"/>
      <c r="AG303" s="154"/>
      <c r="AH303" s="154"/>
      <c r="AI303" s="155"/>
    </row>
    <row r="304" spans="1:35" s="16" customFormat="1" ht="15.75">
      <c r="A304" s="17"/>
      <c r="B304" s="6"/>
      <c r="C304" s="44"/>
      <c r="P304" s="230"/>
      <c r="Q304" s="154"/>
      <c r="R304" s="154"/>
      <c r="S304" s="154"/>
      <c r="T304" s="154"/>
      <c r="U304" s="154"/>
      <c r="V304" s="154"/>
      <c r="W304" s="154"/>
      <c r="X304" s="154"/>
      <c r="Y304" s="154"/>
      <c r="Z304" s="154"/>
      <c r="AA304" s="154"/>
      <c r="AB304" s="154"/>
      <c r="AC304" s="154"/>
      <c r="AD304" s="154"/>
      <c r="AE304" s="154"/>
      <c r="AF304" s="154"/>
      <c r="AG304" s="154"/>
      <c r="AH304" s="154"/>
      <c r="AI304" s="155"/>
    </row>
    <row r="305" spans="1:35" s="16" customFormat="1" ht="15.75">
      <c r="A305" s="17"/>
      <c r="B305" s="6"/>
      <c r="C305" s="44"/>
      <c r="P305" s="230"/>
      <c r="Q305" s="154"/>
      <c r="R305" s="154"/>
      <c r="S305" s="154"/>
      <c r="T305" s="154"/>
      <c r="U305" s="154"/>
      <c r="V305" s="154"/>
      <c r="W305" s="154"/>
      <c r="X305" s="154"/>
      <c r="Y305" s="154"/>
      <c r="Z305" s="154"/>
      <c r="AA305" s="154"/>
      <c r="AB305" s="154"/>
      <c r="AC305" s="154"/>
      <c r="AD305" s="154"/>
      <c r="AE305" s="154"/>
      <c r="AF305" s="154"/>
      <c r="AG305" s="154"/>
      <c r="AH305" s="154"/>
      <c r="AI305" s="155"/>
    </row>
    <row r="306" spans="1:35" s="16" customFormat="1" ht="15.75">
      <c r="A306" s="17"/>
      <c r="B306" s="6"/>
      <c r="C306" s="44"/>
      <c r="P306" s="230"/>
      <c r="Q306" s="154"/>
      <c r="R306" s="154"/>
      <c r="S306" s="154"/>
      <c r="T306" s="154"/>
      <c r="U306" s="154"/>
      <c r="V306" s="154"/>
      <c r="W306" s="154"/>
      <c r="X306" s="154"/>
      <c r="Y306" s="154"/>
      <c r="Z306" s="154"/>
      <c r="AA306" s="154"/>
      <c r="AB306" s="154"/>
      <c r="AC306" s="154"/>
      <c r="AD306" s="154"/>
      <c r="AE306" s="154"/>
      <c r="AF306" s="154"/>
      <c r="AG306" s="154"/>
      <c r="AH306" s="154"/>
      <c r="AI306" s="155"/>
    </row>
    <row r="307" spans="1:35" s="16" customFormat="1" ht="15.75">
      <c r="A307" s="17"/>
      <c r="B307" s="6"/>
      <c r="C307" s="44"/>
      <c r="P307" s="230"/>
      <c r="Q307" s="154"/>
      <c r="R307" s="154"/>
      <c r="S307" s="154"/>
      <c r="T307" s="154"/>
      <c r="U307" s="154"/>
      <c r="V307" s="154"/>
      <c r="W307" s="154"/>
      <c r="X307" s="154"/>
      <c r="Y307" s="154"/>
      <c r="Z307" s="154"/>
      <c r="AA307" s="154"/>
      <c r="AB307" s="154"/>
      <c r="AC307" s="154"/>
      <c r="AD307" s="154"/>
      <c r="AE307" s="154"/>
      <c r="AF307" s="154"/>
      <c r="AG307" s="154"/>
      <c r="AH307" s="154"/>
      <c r="AI307" s="155"/>
    </row>
    <row r="308" spans="1:35" s="16" customFormat="1" ht="15.75">
      <c r="A308" s="17"/>
      <c r="B308" s="6"/>
      <c r="C308" s="44"/>
      <c r="P308" s="230"/>
      <c r="Q308" s="154"/>
      <c r="R308" s="154"/>
      <c r="S308" s="154"/>
      <c r="T308" s="154"/>
      <c r="U308" s="154"/>
      <c r="V308" s="154"/>
      <c r="W308" s="154"/>
      <c r="X308" s="154"/>
      <c r="Y308" s="154"/>
      <c r="Z308" s="154"/>
      <c r="AA308" s="154"/>
      <c r="AB308" s="154"/>
      <c r="AC308" s="154"/>
      <c r="AD308" s="154"/>
      <c r="AE308" s="154"/>
      <c r="AF308" s="154"/>
      <c r="AG308" s="154"/>
      <c r="AH308" s="154"/>
      <c r="AI308" s="155"/>
    </row>
    <row r="309" spans="1:35" s="16" customFormat="1" ht="15.75">
      <c r="A309" s="17"/>
      <c r="B309" s="6"/>
      <c r="C309" s="44"/>
      <c r="P309" s="230"/>
      <c r="Q309" s="154"/>
      <c r="R309" s="154"/>
      <c r="S309" s="154"/>
      <c r="T309" s="154"/>
      <c r="U309" s="154"/>
      <c r="V309" s="154"/>
      <c r="W309" s="154"/>
      <c r="X309" s="154"/>
      <c r="Y309" s="154"/>
      <c r="Z309" s="154"/>
      <c r="AA309" s="154"/>
      <c r="AB309" s="154"/>
      <c r="AC309" s="154"/>
      <c r="AD309" s="154"/>
      <c r="AE309" s="154"/>
      <c r="AF309" s="154"/>
      <c r="AG309" s="154"/>
      <c r="AH309" s="154"/>
      <c r="AI309" s="155"/>
    </row>
    <row r="310" spans="1:35" s="16" customFormat="1" ht="15.75">
      <c r="A310" s="17"/>
      <c r="B310" s="6"/>
      <c r="C310" s="44"/>
      <c r="P310" s="230"/>
      <c r="Q310" s="154"/>
      <c r="R310" s="154"/>
      <c r="S310" s="154"/>
      <c r="T310" s="154"/>
      <c r="U310" s="154"/>
      <c r="V310" s="154"/>
      <c r="W310" s="154"/>
      <c r="X310" s="154"/>
      <c r="Y310" s="154"/>
      <c r="Z310" s="154"/>
      <c r="AA310" s="154"/>
      <c r="AB310" s="154"/>
      <c r="AC310" s="154"/>
      <c r="AD310" s="154"/>
      <c r="AE310" s="154"/>
      <c r="AF310" s="154"/>
      <c r="AG310" s="154"/>
      <c r="AH310" s="154"/>
      <c r="AI310" s="155"/>
    </row>
    <row r="311" spans="1:35" s="16" customFormat="1" ht="15.75">
      <c r="A311" s="17"/>
      <c r="B311" s="6"/>
      <c r="C311" s="44"/>
      <c r="P311" s="230"/>
      <c r="Q311" s="154"/>
      <c r="R311" s="154"/>
      <c r="S311" s="154"/>
      <c r="T311" s="154"/>
      <c r="U311" s="154"/>
      <c r="V311" s="154"/>
      <c r="W311" s="154"/>
      <c r="X311" s="154"/>
      <c r="Y311" s="154"/>
      <c r="Z311" s="154"/>
      <c r="AA311" s="154"/>
      <c r="AB311" s="154"/>
      <c r="AC311" s="154"/>
      <c r="AD311" s="154"/>
      <c r="AE311" s="154"/>
      <c r="AF311" s="154"/>
      <c r="AG311" s="154"/>
      <c r="AH311" s="154"/>
      <c r="AI311" s="155"/>
    </row>
    <row r="312" spans="1:35" s="16" customFormat="1" ht="15.75">
      <c r="A312" s="17"/>
      <c r="B312" s="6"/>
      <c r="C312" s="44"/>
      <c r="P312" s="230"/>
      <c r="Q312" s="154"/>
      <c r="R312" s="154"/>
      <c r="S312" s="154"/>
      <c r="T312" s="154"/>
      <c r="U312" s="154"/>
      <c r="V312" s="154"/>
      <c r="W312" s="154"/>
      <c r="X312" s="154"/>
      <c r="Y312" s="154"/>
      <c r="Z312" s="154"/>
      <c r="AA312" s="154"/>
      <c r="AB312" s="154"/>
      <c r="AC312" s="154"/>
      <c r="AD312" s="154"/>
      <c r="AE312" s="154"/>
      <c r="AF312" s="154"/>
      <c r="AG312" s="154"/>
      <c r="AH312" s="154"/>
      <c r="AI312" s="155"/>
    </row>
    <row r="313" spans="1:35" s="16" customFormat="1" ht="15.75">
      <c r="A313" s="17"/>
      <c r="B313" s="6"/>
      <c r="C313" s="44"/>
      <c r="P313" s="230"/>
      <c r="Q313" s="154"/>
      <c r="R313" s="154"/>
      <c r="S313" s="154"/>
      <c r="T313" s="154"/>
      <c r="U313" s="154"/>
      <c r="V313" s="154"/>
      <c r="W313" s="154"/>
      <c r="X313" s="154"/>
      <c r="Y313" s="154"/>
      <c r="Z313" s="154"/>
      <c r="AA313" s="154"/>
      <c r="AB313" s="154"/>
      <c r="AC313" s="154"/>
      <c r="AD313" s="154"/>
      <c r="AE313" s="154"/>
      <c r="AF313" s="154"/>
      <c r="AG313" s="154"/>
      <c r="AH313" s="154"/>
      <c r="AI313" s="155"/>
    </row>
    <row r="314" spans="1:35" s="16" customFormat="1" ht="15.75">
      <c r="A314" s="17"/>
      <c r="B314" s="6"/>
      <c r="C314" s="44"/>
      <c r="P314" s="230"/>
      <c r="Q314" s="154"/>
      <c r="R314" s="154"/>
      <c r="S314" s="154"/>
      <c r="T314" s="154"/>
      <c r="U314" s="154"/>
      <c r="V314" s="154"/>
      <c r="W314" s="154"/>
      <c r="X314" s="154"/>
      <c r="Y314" s="154"/>
      <c r="Z314" s="154"/>
      <c r="AA314" s="154"/>
      <c r="AB314" s="154"/>
      <c r="AC314" s="154"/>
      <c r="AD314" s="154"/>
      <c r="AE314" s="154"/>
      <c r="AF314" s="154"/>
      <c r="AG314" s="154"/>
      <c r="AH314" s="154"/>
      <c r="AI314" s="155"/>
    </row>
    <row r="315" spans="1:35" s="16" customFormat="1" ht="15.75">
      <c r="A315" s="17"/>
      <c r="B315" s="6"/>
      <c r="C315" s="44"/>
      <c r="P315" s="230"/>
      <c r="Q315" s="154"/>
      <c r="R315" s="154"/>
      <c r="S315" s="154"/>
      <c r="T315" s="154"/>
      <c r="U315" s="154"/>
      <c r="V315" s="154"/>
      <c r="W315" s="154"/>
      <c r="X315" s="154"/>
      <c r="Y315" s="154"/>
      <c r="Z315" s="154"/>
      <c r="AA315" s="154"/>
      <c r="AB315" s="154"/>
      <c r="AC315" s="154"/>
      <c r="AD315" s="154"/>
      <c r="AE315" s="154"/>
      <c r="AF315" s="154"/>
      <c r="AG315" s="154"/>
      <c r="AH315" s="154"/>
      <c r="AI315" s="155"/>
    </row>
    <row r="316" spans="1:35" s="16" customFormat="1" ht="15.75">
      <c r="A316" s="17"/>
      <c r="B316" s="6"/>
      <c r="C316" s="44"/>
      <c r="P316" s="230"/>
      <c r="Q316" s="154"/>
      <c r="R316" s="154"/>
      <c r="S316" s="154"/>
      <c r="T316" s="154"/>
      <c r="U316" s="154"/>
      <c r="V316" s="154"/>
      <c r="W316" s="154"/>
      <c r="X316" s="154"/>
      <c r="Y316" s="154"/>
      <c r="Z316" s="154"/>
      <c r="AA316" s="154"/>
      <c r="AB316" s="154"/>
      <c r="AC316" s="154"/>
      <c r="AD316" s="154"/>
      <c r="AE316" s="154"/>
      <c r="AF316" s="154"/>
      <c r="AG316" s="154"/>
      <c r="AH316" s="154"/>
      <c r="AI316" s="155"/>
    </row>
    <row r="317" spans="1:35" s="16" customFormat="1" ht="15.75">
      <c r="A317" s="17"/>
      <c r="B317" s="6"/>
      <c r="C317" s="44"/>
      <c r="P317" s="230"/>
      <c r="Q317" s="154"/>
      <c r="R317" s="154"/>
      <c r="S317" s="154"/>
      <c r="T317" s="154"/>
      <c r="U317" s="154"/>
      <c r="V317" s="154"/>
      <c r="W317" s="154"/>
      <c r="X317" s="154"/>
      <c r="Y317" s="154"/>
      <c r="Z317" s="154"/>
      <c r="AA317" s="154"/>
      <c r="AB317" s="154"/>
      <c r="AC317" s="154"/>
      <c r="AD317" s="154"/>
      <c r="AE317" s="154"/>
      <c r="AF317" s="154"/>
      <c r="AG317" s="154"/>
      <c r="AH317" s="154"/>
      <c r="AI317" s="155"/>
    </row>
    <row r="318" spans="1:35" s="16" customFormat="1" ht="15.75">
      <c r="A318" s="17"/>
      <c r="B318" s="6"/>
      <c r="C318" s="44"/>
      <c r="P318" s="230"/>
      <c r="Q318" s="154"/>
      <c r="R318" s="154"/>
      <c r="S318" s="154"/>
      <c r="T318" s="154"/>
      <c r="U318" s="154"/>
      <c r="V318" s="154"/>
      <c r="W318" s="154"/>
      <c r="X318" s="154"/>
      <c r="Y318" s="154"/>
      <c r="Z318" s="154"/>
      <c r="AA318" s="154"/>
      <c r="AB318" s="154"/>
      <c r="AC318" s="154"/>
      <c r="AD318" s="154"/>
      <c r="AE318" s="154"/>
      <c r="AF318" s="154"/>
      <c r="AG318" s="154"/>
      <c r="AH318" s="154"/>
      <c r="AI318" s="155"/>
    </row>
    <row r="319" spans="1:35" s="16" customFormat="1" ht="15.75">
      <c r="A319" s="17"/>
      <c r="B319" s="6"/>
      <c r="C319" s="44"/>
      <c r="P319" s="230"/>
      <c r="Q319" s="154"/>
      <c r="R319" s="154"/>
      <c r="S319" s="154"/>
      <c r="T319" s="154"/>
      <c r="U319" s="154"/>
      <c r="V319" s="154"/>
      <c r="W319" s="154"/>
      <c r="X319" s="154"/>
      <c r="Y319" s="154"/>
      <c r="Z319" s="154"/>
      <c r="AA319" s="154"/>
      <c r="AB319" s="154"/>
      <c r="AC319" s="154"/>
      <c r="AD319" s="154"/>
      <c r="AE319" s="154"/>
      <c r="AF319" s="154"/>
      <c r="AG319" s="154"/>
      <c r="AH319" s="154"/>
      <c r="AI319" s="155"/>
    </row>
    <row r="320" spans="1:35" s="16" customFormat="1" ht="15.75">
      <c r="A320" s="17"/>
      <c r="B320" s="6"/>
      <c r="C320" s="44"/>
      <c r="P320" s="230"/>
      <c r="Q320" s="154"/>
      <c r="R320" s="154"/>
      <c r="S320" s="154"/>
      <c r="T320" s="154"/>
      <c r="U320" s="154"/>
      <c r="V320" s="154"/>
      <c r="W320" s="154"/>
      <c r="X320" s="154"/>
      <c r="Y320" s="154"/>
      <c r="Z320" s="154"/>
      <c r="AA320" s="154"/>
      <c r="AB320" s="154"/>
      <c r="AC320" s="154"/>
      <c r="AD320" s="154"/>
      <c r="AE320" s="154"/>
      <c r="AF320" s="154"/>
      <c r="AG320" s="154"/>
      <c r="AH320" s="154"/>
      <c r="AI320" s="155"/>
    </row>
    <row r="321" spans="1:35" s="16" customFormat="1" ht="15.75">
      <c r="A321" s="17"/>
      <c r="B321" s="6"/>
      <c r="C321" s="44"/>
      <c r="P321" s="230"/>
      <c r="Q321" s="154"/>
      <c r="R321" s="154"/>
      <c r="S321" s="154"/>
      <c r="T321" s="154"/>
      <c r="U321" s="154"/>
      <c r="V321" s="154"/>
      <c r="W321" s="154"/>
      <c r="X321" s="154"/>
      <c r="Y321" s="154"/>
      <c r="Z321" s="154"/>
      <c r="AA321" s="154"/>
      <c r="AB321" s="154"/>
      <c r="AC321" s="154"/>
      <c r="AD321" s="154"/>
      <c r="AE321" s="154"/>
      <c r="AF321" s="154"/>
      <c r="AG321" s="154"/>
      <c r="AH321" s="154"/>
      <c r="AI321" s="155"/>
    </row>
    <row r="322" spans="1:35" s="16" customFormat="1" ht="15.75">
      <c r="A322" s="17"/>
      <c r="B322" s="6"/>
      <c r="C322" s="44"/>
      <c r="P322" s="230"/>
      <c r="Q322" s="154"/>
      <c r="R322" s="154"/>
      <c r="S322" s="154"/>
      <c r="T322" s="154"/>
      <c r="U322" s="154"/>
      <c r="V322" s="154"/>
      <c r="W322" s="154"/>
      <c r="X322" s="154"/>
      <c r="Y322" s="154"/>
      <c r="Z322" s="154"/>
      <c r="AA322" s="154"/>
      <c r="AB322" s="154"/>
      <c r="AC322" s="154"/>
      <c r="AD322" s="154"/>
      <c r="AE322" s="154"/>
      <c r="AF322" s="154"/>
      <c r="AG322" s="154"/>
      <c r="AH322" s="154"/>
      <c r="AI322" s="155"/>
    </row>
    <row r="323" spans="1:35" s="16" customFormat="1" ht="15.75">
      <c r="A323" s="17"/>
      <c r="B323" s="6"/>
      <c r="C323" s="44"/>
      <c r="P323" s="230"/>
      <c r="Q323" s="154"/>
      <c r="R323" s="154"/>
      <c r="S323" s="154"/>
      <c r="T323" s="154"/>
      <c r="U323" s="154"/>
      <c r="V323" s="154"/>
      <c r="W323" s="154"/>
      <c r="X323" s="154"/>
      <c r="Y323" s="154"/>
      <c r="Z323" s="154"/>
      <c r="AA323" s="154"/>
      <c r="AB323" s="154"/>
      <c r="AC323" s="154"/>
      <c r="AD323" s="154"/>
      <c r="AE323" s="154"/>
      <c r="AF323" s="154"/>
      <c r="AG323" s="154"/>
      <c r="AH323" s="154"/>
      <c r="AI323" s="155"/>
    </row>
    <row r="324" spans="1:35" s="16" customFormat="1" ht="15.75">
      <c r="A324" s="17"/>
      <c r="B324" s="6"/>
      <c r="C324" s="44"/>
      <c r="P324" s="230"/>
      <c r="Q324" s="154"/>
      <c r="R324" s="154"/>
      <c r="S324" s="154"/>
      <c r="T324" s="154"/>
      <c r="U324" s="154"/>
      <c r="V324" s="154"/>
      <c r="W324" s="154"/>
      <c r="X324" s="154"/>
      <c r="Y324" s="154"/>
      <c r="Z324" s="154"/>
      <c r="AA324" s="154"/>
      <c r="AB324" s="154"/>
      <c r="AC324" s="154"/>
      <c r="AD324" s="154"/>
      <c r="AE324" s="154"/>
      <c r="AF324" s="154"/>
      <c r="AG324" s="154"/>
      <c r="AH324" s="154"/>
      <c r="AI324" s="155"/>
    </row>
    <row r="325" spans="1:35" s="16" customFormat="1" ht="15.75">
      <c r="A325" s="17"/>
      <c r="B325" s="6"/>
      <c r="C325" s="44"/>
      <c r="P325" s="230"/>
      <c r="Q325" s="154"/>
      <c r="R325" s="154"/>
      <c r="S325" s="154"/>
      <c r="T325" s="154"/>
      <c r="U325" s="154"/>
      <c r="V325" s="154"/>
      <c r="W325" s="154"/>
      <c r="X325" s="154"/>
      <c r="Y325" s="154"/>
      <c r="Z325" s="154"/>
      <c r="AA325" s="154"/>
      <c r="AB325" s="154"/>
      <c r="AC325" s="154"/>
      <c r="AD325" s="154"/>
      <c r="AE325" s="154"/>
      <c r="AF325" s="154"/>
      <c r="AG325" s="154"/>
      <c r="AH325" s="154"/>
      <c r="AI325" s="155"/>
    </row>
    <row r="326" spans="1:35" s="16" customFormat="1" ht="15.75">
      <c r="A326" s="17"/>
      <c r="B326" s="6"/>
      <c r="C326" s="44"/>
      <c r="P326" s="230"/>
      <c r="Q326" s="154"/>
      <c r="R326" s="154"/>
      <c r="S326" s="154"/>
      <c r="T326" s="154"/>
      <c r="U326" s="154"/>
      <c r="V326" s="154"/>
      <c r="W326" s="154"/>
      <c r="X326" s="154"/>
      <c r="Y326" s="154"/>
      <c r="Z326" s="154"/>
      <c r="AA326" s="154"/>
      <c r="AB326" s="154"/>
      <c r="AC326" s="154"/>
      <c r="AD326" s="154"/>
      <c r="AE326" s="154"/>
      <c r="AF326" s="154"/>
      <c r="AG326" s="154"/>
      <c r="AH326" s="154"/>
      <c r="AI326" s="155"/>
    </row>
    <row r="327" spans="1:35" s="16" customFormat="1" ht="15.75">
      <c r="A327" s="17"/>
      <c r="B327" s="6"/>
      <c r="C327" s="44"/>
      <c r="P327" s="230"/>
      <c r="Q327" s="154"/>
      <c r="R327" s="154"/>
      <c r="S327" s="154"/>
      <c r="T327" s="154"/>
      <c r="U327" s="154"/>
      <c r="V327" s="154"/>
      <c r="W327" s="154"/>
      <c r="X327" s="154"/>
      <c r="Y327" s="154"/>
      <c r="Z327" s="154"/>
      <c r="AA327" s="154"/>
      <c r="AB327" s="154"/>
      <c r="AC327" s="154"/>
      <c r="AD327" s="154"/>
      <c r="AE327" s="154"/>
      <c r="AF327" s="154"/>
      <c r="AG327" s="154"/>
      <c r="AH327" s="154"/>
      <c r="AI327" s="155"/>
    </row>
    <row r="328" spans="1:35" s="16" customFormat="1" ht="15.75">
      <c r="A328" s="17"/>
      <c r="B328" s="6"/>
      <c r="C328" s="44"/>
      <c r="P328" s="230"/>
      <c r="Q328" s="154"/>
      <c r="R328" s="154"/>
      <c r="S328" s="154"/>
      <c r="T328" s="154"/>
      <c r="U328" s="154"/>
      <c r="V328" s="154"/>
      <c r="W328" s="154"/>
      <c r="X328" s="154"/>
      <c r="Y328" s="154"/>
      <c r="Z328" s="154"/>
      <c r="AA328" s="154"/>
      <c r="AB328" s="154"/>
      <c r="AC328" s="154"/>
      <c r="AD328" s="154"/>
      <c r="AE328" s="154"/>
      <c r="AF328" s="154"/>
      <c r="AG328" s="154"/>
      <c r="AH328" s="154"/>
      <c r="AI328" s="155"/>
    </row>
    <row r="329" spans="1:35" s="16" customFormat="1" ht="15.75">
      <c r="A329" s="17"/>
      <c r="B329" s="6"/>
      <c r="C329" s="44"/>
      <c r="P329" s="230"/>
      <c r="Q329" s="154"/>
      <c r="R329" s="154"/>
      <c r="S329" s="154"/>
      <c r="T329" s="154"/>
      <c r="U329" s="154"/>
      <c r="V329" s="154"/>
      <c r="W329" s="154"/>
      <c r="X329" s="154"/>
      <c r="Y329" s="154"/>
      <c r="Z329" s="154"/>
      <c r="AA329" s="154"/>
      <c r="AB329" s="154"/>
      <c r="AC329" s="154"/>
      <c r="AD329" s="154"/>
      <c r="AE329" s="154"/>
      <c r="AF329" s="154"/>
      <c r="AG329" s="154"/>
      <c r="AH329" s="154"/>
      <c r="AI329" s="155"/>
    </row>
    <row r="330" spans="1:35" s="16" customFormat="1" ht="15.75">
      <c r="A330" s="17"/>
      <c r="B330" s="6"/>
      <c r="C330" s="44"/>
      <c r="P330" s="230"/>
      <c r="Q330" s="154"/>
      <c r="R330" s="154"/>
      <c r="S330" s="154"/>
      <c r="T330" s="154"/>
      <c r="U330" s="154"/>
      <c r="V330" s="154"/>
      <c r="W330" s="154"/>
      <c r="X330" s="154"/>
      <c r="Y330" s="154"/>
      <c r="Z330" s="154"/>
      <c r="AA330" s="154"/>
      <c r="AB330" s="154"/>
      <c r="AC330" s="154"/>
      <c r="AD330" s="154"/>
      <c r="AE330" s="154"/>
      <c r="AF330" s="154"/>
      <c r="AG330" s="154"/>
      <c r="AH330" s="154"/>
      <c r="AI330" s="155"/>
    </row>
    <row r="331" spans="1:35" s="16" customFormat="1" ht="15.75">
      <c r="A331" s="17"/>
      <c r="B331" s="6"/>
      <c r="C331" s="44"/>
      <c r="P331" s="230"/>
      <c r="Q331" s="154"/>
      <c r="R331" s="154"/>
      <c r="S331" s="154"/>
      <c r="T331" s="154"/>
      <c r="U331" s="154"/>
      <c r="V331" s="154"/>
      <c r="W331" s="154"/>
      <c r="X331" s="154"/>
      <c r="Y331" s="154"/>
      <c r="Z331" s="154"/>
      <c r="AA331" s="154"/>
      <c r="AB331" s="154"/>
      <c r="AC331" s="154"/>
      <c r="AD331" s="154"/>
      <c r="AE331" s="154"/>
      <c r="AF331" s="154"/>
      <c r="AG331" s="154"/>
      <c r="AH331" s="154"/>
      <c r="AI331" s="155"/>
    </row>
    <row r="332" spans="1:35" s="16" customFormat="1" ht="15.75">
      <c r="A332" s="17"/>
      <c r="B332" s="6"/>
      <c r="C332" s="44"/>
      <c r="P332" s="230"/>
      <c r="Q332" s="154"/>
      <c r="R332" s="154"/>
      <c r="S332" s="154"/>
      <c r="T332" s="154"/>
      <c r="U332" s="154"/>
      <c r="V332" s="154"/>
      <c r="W332" s="154"/>
      <c r="X332" s="154"/>
      <c r="Y332" s="154"/>
      <c r="Z332" s="154"/>
      <c r="AA332" s="154"/>
      <c r="AB332" s="154"/>
      <c r="AC332" s="154"/>
      <c r="AD332" s="154"/>
      <c r="AE332" s="154"/>
      <c r="AF332" s="154"/>
      <c r="AG332" s="154"/>
      <c r="AH332" s="154"/>
      <c r="AI332" s="155"/>
    </row>
    <row r="333" spans="1:35" s="16" customFormat="1" ht="15.75">
      <c r="A333" s="17"/>
      <c r="B333" s="6"/>
      <c r="C333" s="44"/>
      <c r="P333" s="230"/>
      <c r="Q333" s="154"/>
      <c r="R333" s="154"/>
      <c r="S333" s="154"/>
      <c r="T333" s="154"/>
      <c r="U333" s="154"/>
      <c r="V333" s="154"/>
      <c r="W333" s="154"/>
      <c r="X333" s="154"/>
      <c r="Y333" s="154"/>
      <c r="Z333" s="154"/>
      <c r="AA333" s="154"/>
      <c r="AB333" s="154"/>
      <c r="AC333" s="154"/>
      <c r="AD333" s="154"/>
      <c r="AE333" s="154"/>
      <c r="AF333" s="154"/>
      <c r="AG333" s="154"/>
      <c r="AH333" s="154"/>
      <c r="AI333" s="155"/>
    </row>
    <row r="334" spans="1:35" s="16" customFormat="1" ht="15.75">
      <c r="A334" s="17"/>
      <c r="B334" s="6"/>
      <c r="C334" s="44"/>
      <c r="P334" s="230"/>
      <c r="Q334" s="154"/>
      <c r="R334" s="154"/>
      <c r="S334" s="154"/>
      <c r="T334" s="154"/>
      <c r="U334" s="154"/>
      <c r="V334" s="154"/>
      <c r="W334" s="154"/>
      <c r="X334" s="154"/>
      <c r="Y334" s="154"/>
      <c r="Z334" s="154"/>
      <c r="AA334" s="154"/>
      <c r="AB334" s="154"/>
      <c r="AC334" s="154"/>
      <c r="AD334" s="154"/>
      <c r="AE334" s="154"/>
      <c r="AF334" s="154"/>
      <c r="AG334" s="154"/>
      <c r="AH334" s="154"/>
      <c r="AI334" s="155"/>
    </row>
    <row r="335" spans="1:35" s="16" customFormat="1" ht="15.75">
      <c r="A335" s="17"/>
      <c r="B335" s="6"/>
      <c r="C335" s="44"/>
      <c r="P335" s="230"/>
      <c r="Q335" s="154"/>
      <c r="R335" s="154"/>
      <c r="S335" s="154"/>
      <c r="T335" s="154"/>
      <c r="U335" s="154"/>
      <c r="V335" s="154"/>
      <c r="W335" s="154"/>
      <c r="X335" s="154"/>
      <c r="Y335" s="154"/>
      <c r="Z335" s="154"/>
      <c r="AA335" s="154"/>
      <c r="AB335" s="154"/>
      <c r="AC335" s="154"/>
      <c r="AD335" s="154"/>
      <c r="AE335" s="154"/>
      <c r="AF335" s="154"/>
      <c r="AG335" s="154"/>
      <c r="AH335" s="154"/>
      <c r="AI335" s="155"/>
    </row>
    <row r="336" spans="1:35" s="16" customFormat="1" ht="15.75">
      <c r="A336" s="17"/>
      <c r="B336" s="6"/>
      <c r="C336" s="44"/>
      <c r="P336" s="230"/>
      <c r="Q336" s="154"/>
      <c r="R336" s="154"/>
      <c r="S336" s="154"/>
      <c r="T336" s="154"/>
      <c r="U336" s="154"/>
      <c r="V336" s="154"/>
      <c r="W336" s="154"/>
      <c r="X336" s="154"/>
      <c r="Y336" s="154"/>
      <c r="Z336" s="154"/>
      <c r="AA336" s="154"/>
      <c r="AB336" s="154"/>
      <c r="AC336" s="154"/>
      <c r="AD336" s="154"/>
      <c r="AE336" s="154"/>
      <c r="AF336" s="154"/>
      <c r="AG336" s="154"/>
      <c r="AH336" s="154"/>
      <c r="AI336" s="155"/>
    </row>
    <row r="337" spans="1:35" s="16" customFormat="1" ht="15.75">
      <c r="A337" s="17"/>
      <c r="B337" s="6"/>
      <c r="C337" s="44"/>
      <c r="P337" s="230"/>
      <c r="Q337" s="154"/>
      <c r="R337" s="154"/>
      <c r="S337" s="154"/>
      <c r="T337" s="154"/>
      <c r="U337" s="154"/>
      <c r="V337" s="154"/>
      <c r="W337" s="154"/>
      <c r="X337" s="154"/>
      <c r="Y337" s="154"/>
      <c r="Z337" s="154"/>
      <c r="AA337" s="154"/>
      <c r="AB337" s="154"/>
      <c r="AC337" s="154"/>
      <c r="AD337" s="154"/>
      <c r="AE337" s="154"/>
      <c r="AF337" s="154"/>
      <c r="AG337" s="154"/>
      <c r="AH337" s="154"/>
      <c r="AI337" s="155"/>
    </row>
    <row r="338" spans="1:35" s="16" customFormat="1" ht="15.75">
      <c r="A338" s="17"/>
      <c r="B338" s="6"/>
      <c r="C338" s="44"/>
      <c r="P338" s="230"/>
      <c r="Q338" s="154"/>
      <c r="R338" s="154"/>
      <c r="S338" s="154"/>
      <c r="T338" s="154"/>
      <c r="U338" s="154"/>
      <c r="V338" s="154"/>
      <c r="W338" s="154"/>
      <c r="X338" s="154"/>
      <c r="Y338" s="154"/>
      <c r="Z338" s="154"/>
      <c r="AA338" s="154"/>
      <c r="AB338" s="154"/>
      <c r="AC338" s="154"/>
      <c r="AD338" s="154"/>
      <c r="AE338" s="154"/>
      <c r="AF338" s="154"/>
      <c r="AG338" s="154"/>
      <c r="AH338" s="154"/>
      <c r="AI338" s="155"/>
    </row>
    <row r="339" spans="1:35" s="16" customFormat="1" ht="15.75">
      <c r="A339" s="17"/>
      <c r="B339" s="6"/>
      <c r="C339" s="44"/>
      <c r="P339" s="230"/>
      <c r="Q339" s="154"/>
      <c r="R339" s="154"/>
      <c r="S339" s="154"/>
      <c r="T339" s="154"/>
      <c r="U339" s="154"/>
      <c r="V339" s="154"/>
      <c r="W339" s="154"/>
      <c r="X339" s="154"/>
      <c r="Y339" s="154"/>
      <c r="Z339" s="154"/>
      <c r="AA339" s="154"/>
      <c r="AB339" s="154"/>
      <c r="AC339" s="154"/>
      <c r="AD339" s="154"/>
      <c r="AE339" s="154"/>
      <c r="AF339" s="154"/>
      <c r="AG339" s="154"/>
      <c r="AH339" s="154"/>
      <c r="AI339" s="155"/>
    </row>
    <row r="340" spans="1:35" s="16" customFormat="1" ht="15.75">
      <c r="A340" s="17"/>
      <c r="B340" s="6"/>
      <c r="C340" s="44"/>
      <c r="P340" s="230"/>
      <c r="Q340" s="154"/>
      <c r="R340" s="154"/>
      <c r="S340" s="154"/>
      <c r="T340" s="154"/>
      <c r="U340" s="154"/>
      <c r="V340" s="154"/>
      <c r="W340" s="154"/>
      <c r="X340" s="154"/>
      <c r="Y340" s="154"/>
      <c r="Z340" s="154"/>
      <c r="AA340" s="154"/>
      <c r="AB340" s="154"/>
      <c r="AC340" s="154"/>
      <c r="AD340" s="154"/>
      <c r="AE340" s="154"/>
      <c r="AF340" s="154"/>
      <c r="AG340" s="154"/>
      <c r="AH340" s="154"/>
      <c r="AI340" s="155"/>
    </row>
    <row r="341" spans="1:35" s="16" customFormat="1" ht="15.75">
      <c r="A341" s="17"/>
      <c r="B341" s="6"/>
      <c r="C341" s="44"/>
      <c r="P341" s="230"/>
      <c r="Q341" s="154"/>
      <c r="R341" s="154"/>
      <c r="S341" s="154"/>
      <c r="T341" s="154"/>
      <c r="U341" s="154"/>
      <c r="V341" s="154"/>
      <c r="W341" s="154"/>
      <c r="X341" s="154"/>
      <c r="Y341" s="154"/>
      <c r="Z341" s="154"/>
      <c r="AA341" s="154"/>
      <c r="AB341" s="154"/>
      <c r="AC341" s="154"/>
      <c r="AD341" s="154"/>
      <c r="AE341" s="154"/>
      <c r="AF341" s="154"/>
      <c r="AG341" s="154"/>
      <c r="AH341" s="154"/>
      <c r="AI341" s="155"/>
    </row>
    <row r="342" spans="1:35" s="16" customFormat="1" ht="15.75">
      <c r="A342" s="17"/>
      <c r="B342" s="6"/>
      <c r="C342" s="44"/>
      <c r="P342" s="230"/>
      <c r="Q342" s="154"/>
      <c r="R342" s="154"/>
      <c r="S342" s="154"/>
      <c r="T342" s="154"/>
      <c r="U342" s="154"/>
      <c r="V342" s="154"/>
      <c r="W342" s="154"/>
      <c r="X342" s="154"/>
      <c r="Y342" s="154"/>
      <c r="Z342" s="154"/>
      <c r="AA342" s="154"/>
      <c r="AB342" s="154"/>
      <c r="AC342" s="154"/>
      <c r="AD342" s="154"/>
      <c r="AE342" s="154"/>
      <c r="AF342" s="154"/>
      <c r="AG342" s="154"/>
      <c r="AH342" s="154"/>
      <c r="AI342" s="155"/>
    </row>
    <row r="343" spans="1:35" s="16" customFormat="1" ht="15.75">
      <c r="A343" s="17"/>
      <c r="B343" s="6"/>
      <c r="C343" s="44"/>
      <c r="P343" s="230"/>
      <c r="Q343" s="154"/>
      <c r="R343" s="154"/>
      <c r="S343" s="154"/>
      <c r="T343" s="154"/>
      <c r="U343" s="154"/>
      <c r="V343" s="154"/>
      <c r="W343" s="154"/>
      <c r="X343" s="154"/>
      <c r="Y343" s="154"/>
      <c r="Z343" s="154"/>
      <c r="AA343" s="154"/>
      <c r="AB343" s="154"/>
      <c r="AC343" s="154"/>
      <c r="AD343" s="154"/>
      <c r="AE343" s="154"/>
      <c r="AF343" s="154"/>
      <c r="AG343" s="154"/>
      <c r="AH343" s="154"/>
      <c r="AI343" s="155"/>
    </row>
    <row r="344" spans="1:35" s="16" customFormat="1" ht="15.75">
      <c r="A344" s="17"/>
      <c r="B344" s="6"/>
      <c r="C344" s="44"/>
      <c r="P344" s="230"/>
      <c r="Q344" s="154"/>
      <c r="R344" s="154"/>
      <c r="S344" s="154"/>
      <c r="T344" s="154"/>
      <c r="U344" s="154"/>
      <c r="V344" s="154"/>
      <c r="W344" s="154"/>
      <c r="X344" s="154"/>
      <c r="Y344" s="154"/>
      <c r="Z344" s="154"/>
      <c r="AA344" s="154"/>
      <c r="AB344" s="154"/>
      <c r="AC344" s="154"/>
      <c r="AD344" s="154"/>
      <c r="AE344" s="154"/>
      <c r="AF344" s="154"/>
      <c r="AG344" s="154"/>
      <c r="AH344" s="154"/>
      <c r="AI344" s="155"/>
    </row>
    <row r="345" spans="1:35" s="16" customFormat="1" ht="15.75">
      <c r="A345" s="17"/>
      <c r="B345" s="6"/>
      <c r="C345" s="44"/>
      <c r="P345" s="230"/>
      <c r="Q345" s="154"/>
      <c r="R345" s="154"/>
      <c r="S345" s="154"/>
      <c r="T345" s="154"/>
      <c r="U345" s="154"/>
      <c r="V345" s="154"/>
      <c r="W345" s="154"/>
      <c r="X345" s="154"/>
      <c r="Y345" s="154"/>
      <c r="Z345" s="154"/>
      <c r="AA345" s="154"/>
      <c r="AB345" s="154"/>
      <c r="AC345" s="154"/>
      <c r="AD345" s="154"/>
      <c r="AE345" s="154"/>
      <c r="AF345" s="154"/>
      <c r="AG345" s="154"/>
      <c r="AH345" s="154"/>
      <c r="AI345" s="155"/>
    </row>
    <row r="346" spans="1:35" s="16" customFormat="1" ht="15.75">
      <c r="A346" s="17"/>
      <c r="B346" s="6"/>
      <c r="C346" s="44"/>
      <c r="P346" s="230"/>
      <c r="Q346" s="154"/>
      <c r="R346" s="154"/>
      <c r="S346" s="154"/>
      <c r="T346" s="154"/>
      <c r="U346" s="154"/>
      <c r="V346" s="154"/>
      <c r="W346" s="154"/>
      <c r="X346" s="154"/>
      <c r="Y346" s="154"/>
      <c r="Z346" s="154"/>
      <c r="AA346" s="154"/>
      <c r="AB346" s="154"/>
      <c r="AC346" s="154"/>
      <c r="AD346" s="154"/>
      <c r="AE346" s="154"/>
      <c r="AF346" s="154"/>
      <c r="AG346" s="154"/>
      <c r="AH346" s="154"/>
      <c r="AI346" s="155"/>
    </row>
    <row r="347" spans="1:35" s="16" customFormat="1" ht="15.75">
      <c r="A347" s="17"/>
      <c r="B347" s="6"/>
      <c r="C347" s="44"/>
      <c r="P347" s="230"/>
      <c r="Q347" s="154"/>
      <c r="R347" s="154"/>
      <c r="S347" s="154"/>
      <c r="T347" s="154"/>
      <c r="U347" s="154"/>
      <c r="V347" s="154"/>
      <c r="W347" s="154"/>
      <c r="X347" s="154"/>
      <c r="Y347" s="154"/>
      <c r="Z347" s="154"/>
      <c r="AA347" s="154"/>
      <c r="AB347" s="154"/>
      <c r="AC347" s="154"/>
      <c r="AD347" s="154"/>
      <c r="AE347" s="154"/>
      <c r="AF347" s="154"/>
      <c r="AG347" s="154"/>
      <c r="AH347" s="154"/>
      <c r="AI347" s="155"/>
    </row>
    <row r="348" spans="1:35" s="16" customFormat="1" ht="15.75">
      <c r="A348" s="17"/>
      <c r="B348" s="6"/>
      <c r="C348" s="44"/>
      <c r="P348" s="230"/>
      <c r="Q348" s="154"/>
      <c r="R348" s="154"/>
      <c r="S348" s="154"/>
      <c r="T348" s="154"/>
      <c r="U348" s="154"/>
      <c r="V348" s="154"/>
      <c r="W348" s="154"/>
      <c r="X348" s="154"/>
      <c r="Y348" s="154"/>
      <c r="Z348" s="154"/>
      <c r="AA348" s="154"/>
      <c r="AB348" s="154"/>
      <c r="AC348" s="154"/>
      <c r="AD348" s="154"/>
      <c r="AE348" s="154"/>
      <c r="AF348" s="154"/>
      <c r="AG348" s="154"/>
      <c r="AH348" s="154"/>
      <c r="AI348" s="155"/>
    </row>
    <row r="349" spans="1:35" s="16" customFormat="1" ht="15.75">
      <c r="A349" s="17"/>
      <c r="B349" s="6"/>
      <c r="C349" s="44"/>
      <c r="P349" s="230"/>
      <c r="Q349" s="154"/>
      <c r="R349" s="154"/>
      <c r="S349" s="154"/>
      <c r="T349" s="154"/>
      <c r="U349" s="154"/>
      <c r="V349" s="154"/>
      <c r="W349" s="154"/>
      <c r="X349" s="154"/>
      <c r="Y349" s="154"/>
      <c r="Z349" s="154"/>
      <c r="AA349" s="154"/>
      <c r="AB349" s="154"/>
      <c r="AC349" s="154"/>
      <c r="AD349" s="154"/>
      <c r="AE349" s="154"/>
      <c r="AF349" s="154"/>
      <c r="AG349" s="154"/>
      <c r="AH349" s="154"/>
      <c r="AI349" s="155"/>
    </row>
    <row r="350" spans="1:35" s="16" customFormat="1" ht="15.75">
      <c r="A350" s="17"/>
      <c r="B350" s="6"/>
      <c r="C350" s="44"/>
      <c r="P350" s="230"/>
      <c r="Q350" s="154"/>
      <c r="R350" s="154"/>
      <c r="S350" s="154"/>
      <c r="T350" s="154"/>
      <c r="U350" s="154"/>
      <c r="V350" s="154"/>
      <c r="W350" s="154"/>
      <c r="X350" s="154"/>
      <c r="Y350" s="154"/>
      <c r="Z350" s="154"/>
      <c r="AA350" s="154"/>
      <c r="AB350" s="154"/>
      <c r="AC350" s="154"/>
      <c r="AD350" s="154"/>
      <c r="AE350" s="154"/>
      <c r="AF350" s="154"/>
      <c r="AG350" s="154"/>
      <c r="AH350" s="154"/>
      <c r="AI350" s="155"/>
    </row>
    <row r="351" spans="1:35" s="16" customFormat="1" ht="15.75">
      <c r="A351" s="17"/>
      <c r="B351" s="6"/>
      <c r="C351" s="44"/>
      <c r="P351" s="230"/>
      <c r="Q351" s="154"/>
      <c r="R351" s="154"/>
      <c r="S351" s="154"/>
      <c r="T351" s="154"/>
      <c r="U351" s="154"/>
      <c r="V351" s="154"/>
      <c r="W351" s="154"/>
      <c r="X351" s="154"/>
      <c r="Y351" s="154"/>
      <c r="Z351" s="154"/>
      <c r="AA351" s="154"/>
      <c r="AB351" s="154"/>
      <c r="AC351" s="154"/>
      <c r="AD351" s="154"/>
      <c r="AE351" s="154"/>
      <c r="AF351" s="154"/>
      <c r="AG351" s="154"/>
      <c r="AH351" s="154"/>
      <c r="AI351" s="155"/>
    </row>
    <row r="352" spans="1:35" s="16" customFormat="1" ht="15.75">
      <c r="A352" s="17"/>
      <c r="B352" s="6"/>
      <c r="C352" s="44"/>
      <c r="P352" s="230"/>
      <c r="Q352" s="154"/>
      <c r="R352" s="154"/>
      <c r="S352" s="154"/>
      <c r="T352" s="154"/>
      <c r="U352" s="154"/>
      <c r="V352" s="154"/>
      <c r="W352" s="154"/>
      <c r="X352" s="154"/>
      <c r="Y352" s="154"/>
      <c r="Z352" s="154"/>
      <c r="AA352" s="154"/>
      <c r="AB352" s="154"/>
      <c r="AC352" s="154"/>
      <c r="AD352" s="154"/>
      <c r="AE352" s="154"/>
      <c r="AF352" s="154"/>
      <c r="AG352" s="154"/>
      <c r="AH352" s="154"/>
      <c r="AI352" s="155"/>
    </row>
    <row r="353" spans="1:35" s="16" customFormat="1" ht="15.75">
      <c r="A353" s="17"/>
      <c r="B353" s="6"/>
      <c r="C353" s="44"/>
      <c r="P353" s="230"/>
      <c r="Q353" s="154"/>
      <c r="R353" s="154"/>
      <c r="S353" s="154"/>
      <c r="T353" s="154"/>
      <c r="U353" s="154"/>
      <c r="V353" s="154"/>
      <c r="W353" s="154"/>
      <c r="X353" s="154"/>
      <c r="Y353" s="154"/>
      <c r="Z353" s="154"/>
      <c r="AA353" s="154"/>
      <c r="AB353" s="154"/>
      <c r="AC353" s="154"/>
      <c r="AD353" s="154"/>
      <c r="AE353" s="154"/>
      <c r="AF353" s="154"/>
      <c r="AG353" s="154"/>
      <c r="AH353" s="154"/>
      <c r="AI353" s="155"/>
    </row>
    <row r="354" spans="1:35" s="16" customFormat="1" ht="15.75">
      <c r="A354" s="17"/>
      <c r="B354" s="6"/>
      <c r="C354" s="44"/>
      <c r="P354" s="230"/>
      <c r="Q354" s="154"/>
      <c r="R354" s="154"/>
      <c r="S354" s="154"/>
      <c r="T354" s="154"/>
      <c r="U354" s="154"/>
      <c r="V354" s="154"/>
      <c r="W354" s="154"/>
      <c r="X354" s="154"/>
      <c r="Y354" s="154"/>
      <c r="Z354" s="154"/>
      <c r="AA354" s="154"/>
      <c r="AB354" s="154"/>
      <c r="AC354" s="154"/>
      <c r="AD354" s="154"/>
      <c r="AE354" s="154"/>
      <c r="AF354" s="154"/>
      <c r="AG354" s="154"/>
      <c r="AH354" s="154"/>
      <c r="AI354" s="155"/>
    </row>
    <row r="355" spans="1:35" s="16" customFormat="1" ht="15.75">
      <c r="A355" s="17"/>
      <c r="B355" s="6"/>
      <c r="C355" s="44"/>
      <c r="P355" s="230"/>
      <c r="Q355" s="154"/>
      <c r="R355" s="154"/>
      <c r="S355" s="154"/>
      <c r="T355" s="154"/>
      <c r="U355" s="154"/>
      <c r="V355" s="154"/>
      <c r="W355" s="154"/>
      <c r="X355" s="154"/>
      <c r="Y355" s="154"/>
      <c r="Z355" s="154"/>
      <c r="AA355" s="154"/>
      <c r="AB355" s="154"/>
      <c r="AC355" s="154"/>
      <c r="AD355" s="154"/>
      <c r="AE355" s="154"/>
      <c r="AF355" s="154"/>
      <c r="AG355" s="154"/>
      <c r="AH355" s="154"/>
      <c r="AI355" s="155"/>
    </row>
    <row r="356" spans="1:35" s="16" customFormat="1" ht="15.75">
      <c r="A356" s="17"/>
      <c r="B356" s="6"/>
      <c r="C356" s="44"/>
      <c r="P356" s="230"/>
      <c r="Q356" s="154"/>
      <c r="R356" s="154"/>
      <c r="S356" s="154"/>
      <c r="T356" s="154"/>
      <c r="U356" s="154"/>
      <c r="V356" s="154"/>
      <c r="W356" s="154"/>
      <c r="X356" s="154"/>
      <c r="Y356" s="154"/>
      <c r="Z356" s="154"/>
      <c r="AA356" s="154"/>
      <c r="AB356" s="154"/>
      <c r="AC356" s="154"/>
      <c r="AD356" s="154"/>
      <c r="AE356" s="154"/>
      <c r="AF356" s="154"/>
      <c r="AG356" s="154"/>
      <c r="AH356" s="154"/>
      <c r="AI356" s="155"/>
    </row>
    <row r="357" spans="1:35" s="16" customFormat="1" ht="15.75">
      <c r="A357" s="17"/>
      <c r="B357" s="6"/>
      <c r="C357" s="44"/>
      <c r="P357" s="230"/>
      <c r="Q357" s="154"/>
      <c r="R357" s="154"/>
      <c r="S357" s="154"/>
      <c r="T357" s="154"/>
      <c r="U357" s="154"/>
      <c r="V357" s="154"/>
      <c r="W357" s="154"/>
      <c r="X357" s="154"/>
      <c r="Y357" s="154"/>
      <c r="Z357" s="154"/>
      <c r="AA357" s="154"/>
      <c r="AB357" s="154"/>
      <c r="AC357" s="154"/>
      <c r="AD357" s="154"/>
      <c r="AE357" s="154"/>
      <c r="AF357" s="154"/>
      <c r="AG357" s="154"/>
      <c r="AH357" s="154"/>
      <c r="AI357" s="155"/>
    </row>
    <row r="358" spans="1:35" s="16" customFormat="1" ht="15.75">
      <c r="A358" s="17"/>
      <c r="B358" s="6"/>
      <c r="C358" s="44"/>
      <c r="P358" s="230"/>
      <c r="Q358" s="154"/>
      <c r="R358" s="154"/>
      <c r="S358" s="154"/>
      <c r="T358" s="154"/>
      <c r="U358" s="154"/>
      <c r="V358" s="154"/>
      <c r="W358" s="154"/>
      <c r="X358" s="154"/>
      <c r="Y358" s="154"/>
      <c r="Z358" s="154"/>
      <c r="AA358" s="154"/>
      <c r="AB358" s="154"/>
      <c r="AC358" s="154"/>
      <c r="AD358" s="154"/>
      <c r="AE358" s="154"/>
      <c r="AF358" s="154"/>
      <c r="AG358" s="154"/>
      <c r="AH358" s="154"/>
      <c r="AI358" s="155"/>
    </row>
    <row r="359" spans="1:35" s="16" customFormat="1" ht="15.75">
      <c r="A359" s="17"/>
      <c r="B359" s="6"/>
      <c r="C359" s="44"/>
      <c r="P359" s="230"/>
      <c r="Q359" s="154"/>
      <c r="R359" s="154"/>
      <c r="S359" s="154"/>
      <c r="T359" s="154"/>
      <c r="U359" s="154"/>
      <c r="V359" s="154"/>
      <c r="W359" s="154"/>
      <c r="X359" s="154"/>
      <c r="Y359" s="154"/>
      <c r="Z359" s="154"/>
      <c r="AA359" s="154"/>
      <c r="AB359" s="154"/>
      <c r="AC359" s="154"/>
      <c r="AD359" s="154"/>
      <c r="AE359" s="154"/>
      <c r="AF359" s="154"/>
      <c r="AG359" s="154"/>
      <c r="AH359" s="154"/>
      <c r="AI359" s="155"/>
    </row>
    <row r="360" spans="1:35" s="16" customFormat="1" ht="15.75">
      <c r="A360" s="17"/>
      <c r="B360" s="6"/>
      <c r="C360" s="44"/>
      <c r="P360" s="230"/>
      <c r="Q360" s="154"/>
      <c r="R360" s="154"/>
      <c r="S360" s="154"/>
      <c r="T360" s="154"/>
      <c r="U360" s="154"/>
      <c r="V360" s="154"/>
      <c r="W360" s="154"/>
      <c r="X360" s="154"/>
      <c r="Y360" s="154"/>
      <c r="Z360" s="154"/>
      <c r="AA360" s="154"/>
      <c r="AB360" s="154"/>
      <c r="AC360" s="154"/>
      <c r="AD360" s="154"/>
      <c r="AE360" s="154"/>
      <c r="AF360" s="154"/>
      <c r="AG360" s="154"/>
      <c r="AH360" s="154"/>
      <c r="AI360" s="155"/>
    </row>
    <row r="361" spans="1:35" s="16" customFormat="1" ht="15.75">
      <c r="A361" s="17"/>
      <c r="B361" s="6"/>
      <c r="C361" s="44"/>
      <c r="P361" s="230"/>
      <c r="Q361" s="154"/>
      <c r="R361" s="154"/>
      <c r="S361" s="154"/>
      <c r="T361" s="154"/>
      <c r="U361" s="154"/>
      <c r="V361" s="154"/>
      <c r="W361" s="154"/>
      <c r="X361" s="154"/>
      <c r="Y361" s="154"/>
      <c r="Z361" s="154"/>
      <c r="AA361" s="154"/>
      <c r="AB361" s="154"/>
      <c r="AC361" s="154"/>
      <c r="AD361" s="154"/>
      <c r="AE361" s="154"/>
      <c r="AF361" s="154"/>
      <c r="AG361" s="154"/>
      <c r="AH361" s="154"/>
      <c r="AI361" s="155"/>
    </row>
    <row r="362" spans="1:35" s="16" customFormat="1" ht="15.75">
      <c r="A362" s="17"/>
      <c r="B362" s="6"/>
      <c r="C362" s="44"/>
      <c r="P362" s="230"/>
      <c r="Q362" s="154"/>
      <c r="R362" s="154"/>
      <c r="S362" s="154"/>
      <c r="T362" s="154"/>
      <c r="U362" s="154"/>
      <c r="V362" s="154"/>
      <c r="W362" s="154"/>
      <c r="X362" s="154"/>
      <c r="Y362" s="154"/>
      <c r="Z362" s="154"/>
      <c r="AA362" s="154"/>
      <c r="AB362" s="154"/>
      <c r="AC362" s="154"/>
      <c r="AD362" s="154"/>
      <c r="AE362" s="154"/>
      <c r="AF362" s="154"/>
      <c r="AG362" s="154"/>
      <c r="AH362" s="154"/>
      <c r="AI362" s="155"/>
    </row>
    <row r="363" spans="1:35" s="16" customFormat="1" ht="15.75">
      <c r="A363" s="17"/>
      <c r="B363" s="6"/>
      <c r="C363" s="44"/>
      <c r="P363" s="230"/>
      <c r="Q363" s="154"/>
      <c r="R363" s="154"/>
      <c r="S363" s="154"/>
      <c r="T363" s="154"/>
      <c r="U363" s="154"/>
      <c r="V363" s="154"/>
      <c r="W363" s="154"/>
      <c r="X363" s="154"/>
      <c r="Y363" s="154"/>
      <c r="Z363" s="154"/>
      <c r="AA363" s="154"/>
      <c r="AB363" s="154"/>
      <c r="AC363" s="154"/>
      <c r="AD363" s="154"/>
      <c r="AE363" s="154"/>
      <c r="AF363" s="154"/>
      <c r="AG363" s="154"/>
      <c r="AH363" s="154"/>
      <c r="AI363" s="155"/>
    </row>
    <row r="364" spans="1:35" s="16" customFormat="1" ht="15.75">
      <c r="A364" s="17"/>
      <c r="B364" s="6"/>
      <c r="C364" s="44"/>
      <c r="P364" s="230"/>
      <c r="Q364" s="154"/>
      <c r="R364" s="154"/>
      <c r="S364" s="154"/>
      <c r="T364" s="154"/>
      <c r="U364" s="154"/>
      <c r="V364" s="154"/>
      <c r="W364" s="154"/>
      <c r="X364" s="154"/>
      <c r="Y364" s="154"/>
      <c r="Z364" s="154"/>
      <c r="AA364" s="154"/>
      <c r="AB364" s="154"/>
      <c r="AC364" s="154"/>
      <c r="AD364" s="154"/>
      <c r="AE364" s="154"/>
      <c r="AF364" s="154"/>
      <c r="AG364" s="154"/>
      <c r="AH364" s="154"/>
      <c r="AI364" s="155"/>
    </row>
    <row r="365" spans="1:35" s="16" customFormat="1" ht="15.75">
      <c r="A365" s="17"/>
      <c r="B365" s="6"/>
      <c r="C365" s="44"/>
      <c r="P365" s="230"/>
      <c r="Q365" s="154"/>
      <c r="R365" s="154"/>
      <c r="S365" s="154"/>
      <c r="T365" s="154"/>
      <c r="U365" s="154"/>
      <c r="V365" s="154"/>
      <c r="W365" s="154"/>
      <c r="X365" s="154"/>
      <c r="Y365" s="154"/>
      <c r="Z365" s="154"/>
      <c r="AA365" s="154"/>
      <c r="AB365" s="154"/>
      <c r="AC365" s="154"/>
      <c r="AD365" s="154"/>
      <c r="AE365" s="154"/>
      <c r="AF365" s="154"/>
      <c r="AG365" s="154"/>
      <c r="AH365" s="154"/>
      <c r="AI365" s="155"/>
    </row>
    <row r="366" spans="1:35" s="16" customFormat="1" ht="15.75">
      <c r="A366" s="17"/>
      <c r="B366" s="6"/>
      <c r="C366" s="44"/>
      <c r="P366" s="230"/>
      <c r="Q366" s="154"/>
      <c r="R366" s="154"/>
      <c r="S366" s="154"/>
      <c r="T366" s="154"/>
      <c r="U366" s="154"/>
      <c r="V366" s="154"/>
      <c r="W366" s="154"/>
      <c r="X366" s="154"/>
      <c r="Y366" s="154"/>
      <c r="Z366" s="154"/>
      <c r="AA366" s="154"/>
      <c r="AB366" s="154"/>
      <c r="AC366" s="154"/>
      <c r="AD366" s="154"/>
      <c r="AE366" s="154"/>
      <c r="AF366" s="154"/>
      <c r="AG366" s="154"/>
      <c r="AH366" s="154"/>
      <c r="AI366" s="155"/>
    </row>
    <row r="367" spans="1:35" s="16" customFormat="1" ht="15.75">
      <c r="A367" s="17"/>
      <c r="B367" s="6"/>
      <c r="C367" s="44"/>
      <c r="P367" s="230"/>
      <c r="Q367" s="154"/>
      <c r="R367" s="154"/>
      <c r="S367" s="154"/>
      <c r="T367" s="154"/>
      <c r="U367" s="154"/>
      <c r="V367" s="154"/>
      <c r="W367" s="154"/>
      <c r="X367" s="154"/>
      <c r="Y367" s="154"/>
      <c r="Z367" s="154"/>
      <c r="AA367" s="154"/>
      <c r="AB367" s="154"/>
      <c r="AC367" s="154"/>
      <c r="AD367" s="154"/>
      <c r="AE367" s="154"/>
      <c r="AF367" s="154"/>
      <c r="AG367" s="154"/>
      <c r="AH367" s="154"/>
      <c r="AI367" s="155"/>
    </row>
    <row r="368" spans="1:35" s="16" customFormat="1" ht="15.75">
      <c r="A368" s="17"/>
      <c r="B368" s="6"/>
      <c r="C368" s="44"/>
      <c r="P368" s="230"/>
      <c r="Q368" s="154"/>
      <c r="R368" s="154"/>
      <c r="S368" s="154"/>
      <c r="T368" s="154"/>
      <c r="U368" s="154"/>
      <c r="V368" s="154"/>
      <c r="W368" s="154"/>
      <c r="X368" s="154"/>
      <c r="Y368" s="154"/>
      <c r="Z368" s="154"/>
      <c r="AA368" s="154"/>
      <c r="AB368" s="154"/>
      <c r="AC368" s="154"/>
      <c r="AD368" s="154"/>
      <c r="AE368" s="154"/>
      <c r="AF368" s="154"/>
      <c r="AG368" s="154"/>
      <c r="AH368" s="154"/>
      <c r="AI368" s="155"/>
    </row>
    <row r="369" spans="1:35" s="16" customFormat="1" ht="15.75">
      <c r="A369" s="17"/>
      <c r="B369" s="6"/>
      <c r="C369" s="44"/>
      <c r="P369" s="230"/>
      <c r="Q369" s="154"/>
      <c r="R369" s="154"/>
      <c r="S369" s="154"/>
      <c r="T369" s="154"/>
      <c r="U369" s="154"/>
      <c r="V369" s="154"/>
      <c r="W369" s="154"/>
      <c r="X369" s="154"/>
      <c r="Y369" s="154"/>
      <c r="Z369" s="154"/>
      <c r="AA369" s="154"/>
      <c r="AB369" s="154"/>
      <c r="AC369" s="154"/>
      <c r="AD369" s="154"/>
      <c r="AE369" s="154"/>
      <c r="AF369" s="154"/>
      <c r="AG369" s="154"/>
      <c r="AH369" s="154"/>
      <c r="AI369" s="155"/>
    </row>
    <row r="370" spans="1:35" s="16" customFormat="1" ht="15.75">
      <c r="A370" s="17"/>
      <c r="B370" s="6"/>
      <c r="C370" s="44"/>
      <c r="P370" s="230"/>
      <c r="Q370" s="154"/>
      <c r="R370" s="154"/>
      <c r="S370" s="154"/>
      <c r="T370" s="154"/>
      <c r="U370" s="154"/>
      <c r="V370" s="154"/>
      <c r="W370" s="154"/>
      <c r="X370" s="154"/>
      <c r="Y370" s="154"/>
      <c r="Z370" s="154"/>
      <c r="AA370" s="154"/>
      <c r="AB370" s="154"/>
      <c r="AC370" s="154"/>
      <c r="AD370" s="154"/>
      <c r="AE370" s="154"/>
      <c r="AF370" s="154"/>
      <c r="AG370" s="154"/>
      <c r="AH370" s="154"/>
      <c r="AI370" s="155"/>
    </row>
    <row r="371" spans="1:35" s="16" customFormat="1" ht="15.75">
      <c r="A371" s="17"/>
      <c r="B371" s="6"/>
      <c r="C371" s="44"/>
      <c r="P371" s="230"/>
      <c r="Q371" s="154"/>
      <c r="R371" s="154"/>
      <c r="S371" s="154"/>
      <c r="T371" s="154"/>
      <c r="U371" s="154"/>
      <c r="V371" s="154"/>
      <c r="W371" s="154"/>
      <c r="X371" s="154"/>
      <c r="Y371" s="154"/>
      <c r="Z371" s="154"/>
      <c r="AA371" s="154"/>
      <c r="AB371" s="154"/>
      <c r="AC371" s="154"/>
      <c r="AD371" s="154"/>
      <c r="AE371" s="154"/>
      <c r="AF371" s="154"/>
      <c r="AG371" s="154"/>
      <c r="AH371" s="154"/>
      <c r="AI371" s="155"/>
    </row>
    <row r="372" spans="1:35" s="16" customFormat="1" ht="15.75">
      <c r="A372" s="17"/>
      <c r="B372" s="6"/>
      <c r="C372" s="44"/>
      <c r="P372" s="230"/>
      <c r="Q372" s="154"/>
      <c r="R372" s="154"/>
      <c r="S372" s="154"/>
      <c r="T372" s="154"/>
      <c r="U372" s="154"/>
      <c r="V372" s="154"/>
      <c r="W372" s="154"/>
      <c r="X372" s="154"/>
      <c r="Y372" s="154"/>
      <c r="Z372" s="154"/>
      <c r="AA372" s="154"/>
      <c r="AB372" s="154"/>
      <c r="AC372" s="154"/>
      <c r="AD372" s="154"/>
      <c r="AE372" s="154"/>
      <c r="AF372" s="154"/>
      <c r="AG372" s="154"/>
      <c r="AH372" s="154"/>
      <c r="AI372" s="155"/>
    </row>
    <row r="373" spans="1:35" s="16" customFormat="1" ht="15.75">
      <c r="A373" s="17"/>
      <c r="B373" s="6"/>
      <c r="C373" s="44"/>
      <c r="P373" s="230"/>
      <c r="Q373" s="154"/>
      <c r="R373" s="154"/>
      <c r="S373" s="154"/>
      <c r="T373" s="154"/>
      <c r="U373" s="154"/>
      <c r="V373" s="154"/>
      <c r="W373" s="154"/>
      <c r="X373" s="154"/>
      <c r="Y373" s="154"/>
      <c r="Z373" s="154"/>
      <c r="AA373" s="154"/>
      <c r="AB373" s="154"/>
      <c r="AC373" s="154"/>
      <c r="AD373" s="154"/>
      <c r="AE373" s="154"/>
      <c r="AF373" s="154"/>
      <c r="AG373" s="154"/>
      <c r="AH373" s="154"/>
      <c r="AI373" s="155"/>
    </row>
    <row r="374" spans="1:35" s="16" customFormat="1" ht="15.75">
      <c r="A374" s="17"/>
      <c r="B374" s="6"/>
      <c r="C374" s="44"/>
      <c r="P374" s="230"/>
      <c r="Q374" s="154"/>
      <c r="R374" s="154"/>
      <c r="S374" s="154"/>
      <c r="T374" s="154"/>
      <c r="U374" s="154"/>
      <c r="V374" s="154"/>
      <c r="W374" s="154"/>
      <c r="X374" s="154"/>
      <c r="Y374" s="154"/>
      <c r="Z374" s="154"/>
      <c r="AA374" s="154"/>
      <c r="AB374" s="154"/>
      <c r="AC374" s="154"/>
      <c r="AD374" s="154"/>
      <c r="AE374" s="154"/>
      <c r="AF374" s="154"/>
      <c r="AG374" s="154"/>
      <c r="AH374" s="154"/>
      <c r="AI374" s="155"/>
    </row>
    <row r="375" spans="1:35" s="16" customFormat="1" ht="15.75">
      <c r="A375" s="17"/>
      <c r="B375" s="6"/>
      <c r="C375" s="44"/>
      <c r="P375" s="230"/>
      <c r="Q375" s="154"/>
      <c r="R375" s="154"/>
      <c r="S375" s="154"/>
      <c r="T375" s="154"/>
      <c r="U375" s="154"/>
      <c r="V375" s="154"/>
      <c r="W375" s="154"/>
      <c r="X375" s="154"/>
      <c r="Y375" s="154"/>
      <c r="Z375" s="154"/>
      <c r="AA375" s="154"/>
      <c r="AB375" s="154"/>
      <c r="AC375" s="154"/>
      <c r="AD375" s="154"/>
      <c r="AE375" s="154"/>
      <c r="AF375" s="154"/>
      <c r="AG375" s="154"/>
      <c r="AH375" s="154"/>
      <c r="AI375" s="155"/>
    </row>
    <row r="376" spans="1:35" s="16" customFormat="1" ht="15.75">
      <c r="A376" s="17"/>
      <c r="B376" s="6"/>
      <c r="C376" s="44"/>
      <c r="P376" s="230"/>
      <c r="Q376" s="154"/>
      <c r="R376" s="154"/>
      <c r="S376" s="154"/>
      <c r="T376" s="154"/>
      <c r="U376" s="154"/>
      <c r="V376" s="154"/>
      <c r="W376" s="154"/>
      <c r="X376" s="154"/>
      <c r="Y376" s="154"/>
      <c r="Z376" s="154"/>
      <c r="AA376" s="154"/>
      <c r="AB376" s="154"/>
      <c r="AC376" s="154"/>
      <c r="AD376" s="154"/>
      <c r="AE376" s="154"/>
      <c r="AF376" s="154"/>
      <c r="AG376" s="154"/>
      <c r="AH376" s="154"/>
      <c r="AI376" s="155"/>
    </row>
    <row r="377" spans="1:35" s="16" customFormat="1" ht="15.75">
      <c r="A377" s="17"/>
      <c r="B377" s="6"/>
      <c r="C377" s="44"/>
      <c r="P377" s="230"/>
      <c r="Q377" s="154"/>
      <c r="R377" s="154"/>
      <c r="S377" s="154"/>
      <c r="T377" s="154"/>
      <c r="U377" s="154"/>
      <c r="V377" s="154"/>
      <c r="W377" s="154"/>
      <c r="X377" s="154"/>
      <c r="Y377" s="154"/>
      <c r="Z377" s="154"/>
      <c r="AA377" s="154"/>
      <c r="AB377" s="154"/>
      <c r="AC377" s="154"/>
      <c r="AD377" s="154"/>
      <c r="AE377" s="154"/>
      <c r="AF377" s="154"/>
      <c r="AG377" s="154"/>
      <c r="AH377" s="154"/>
      <c r="AI377" s="155"/>
    </row>
    <row r="378" spans="1:35" s="16" customFormat="1" ht="15.75">
      <c r="A378" s="17"/>
      <c r="B378" s="6"/>
      <c r="C378" s="44"/>
      <c r="P378" s="230"/>
      <c r="Q378" s="154"/>
      <c r="R378" s="154"/>
      <c r="S378" s="154"/>
      <c r="T378" s="154"/>
      <c r="U378" s="154"/>
      <c r="V378" s="154"/>
      <c r="W378" s="154"/>
      <c r="X378" s="154"/>
      <c r="Y378" s="154"/>
      <c r="Z378" s="154"/>
      <c r="AA378" s="154"/>
      <c r="AB378" s="154"/>
      <c r="AC378" s="154"/>
      <c r="AD378" s="154"/>
      <c r="AE378" s="154"/>
      <c r="AF378" s="154"/>
      <c r="AG378" s="154"/>
      <c r="AH378" s="154"/>
      <c r="AI378" s="155"/>
    </row>
    <row r="379" spans="1:35" s="16" customFormat="1" ht="15.75">
      <c r="A379" s="17"/>
      <c r="B379" s="6"/>
      <c r="C379" s="44"/>
      <c r="P379" s="230"/>
      <c r="Q379" s="154"/>
      <c r="R379" s="154"/>
      <c r="S379" s="154"/>
      <c r="T379" s="154"/>
      <c r="U379" s="154"/>
      <c r="V379" s="154"/>
      <c r="W379" s="154"/>
      <c r="X379" s="154"/>
      <c r="Y379" s="154"/>
      <c r="Z379" s="154"/>
      <c r="AA379" s="154"/>
      <c r="AB379" s="154"/>
      <c r="AC379" s="154"/>
      <c r="AD379" s="154"/>
      <c r="AE379" s="154"/>
      <c r="AF379" s="154"/>
      <c r="AG379" s="154"/>
      <c r="AH379" s="154"/>
      <c r="AI379" s="155"/>
    </row>
    <row r="380" spans="1:35" s="16" customFormat="1" ht="15.75">
      <c r="A380" s="17"/>
      <c r="B380" s="6"/>
      <c r="C380" s="44"/>
      <c r="P380" s="230"/>
      <c r="Q380" s="154"/>
      <c r="R380" s="154"/>
      <c r="S380" s="154"/>
      <c r="T380" s="154"/>
      <c r="U380" s="154"/>
      <c r="V380" s="154"/>
      <c r="W380" s="154"/>
      <c r="X380" s="154"/>
      <c r="Y380" s="154"/>
      <c r="Z380" s="154"/>
      <c r="AA380" s="154"/>
      <c r="AB380" s="154"/>
      <c r="AC380" s="154"/>
      <c r="AD380" s="154"/>
      <c r="AE380" s="154"/>
      <c r="AF380" s="154"/>
      <c r="AG380" s="154"/>
      <c r="AH380" s="154"/>
      <c r="AI380" s="155"/>
    </row>
    <row r="381" spans="1:35" s="16" customFormat="1" ht="15.75">
      <c r="A381" s="17"/>
      <c r="B381" s="6"/>
      <c r="C381" s="44"/>
      <c r="P381" s="230"/>
      <c r="Q381" s="154"/>
      <c r="R381" s="154"/>
      <c r="S381" s="154"/>
      <c r="T381" s="154"/>
      <c r="U381" s="154"/>
      <c r="V381" s="154"/>
      <c r="W381" s="154"/>
      <c r="X381" s="154"/>
      <c r="Y381" s="154"/>
      <c r="Z381" s="154"/>
      <c r="AA381" s="154"/>
      <c r="AB381" s="154"/>
      <c r="AC381" s="154"/>
      <c r="AD381" s="154"/>
      <c r="AE381" s="154"/>
      <c r="AF381" s="154"/>
      <c r="AG381" s="154"/>
      <c r="AH381" s="154"/>
      <c r="AI381" s="155"/>
    </row>
    <row r="382" spans="1:35" s="16" customFormat="1" ht="15.75">
      <c r="A382" s="17"/>
      <c r="B382" s="6"/>
      <c r="C382" s="44"/>
      <c r="P382" s="230"/>
      <c r="Q382" s="154"/>
      <c r="R382" s="154"/>
      <c r="S382" s="154"/>
      <c r="T382" s="154"/>
      <c r="U382" s="154"/>
      <c r="V382" s="154"/>
      <c r="W382" s="154"/>
      <c r="X382" s="154"/>
      <c r="Y382" s="154"/>
      <c r="Z382" s="154"/>
      <c r="AA382" s="154"/>
      <c r="AB382" s="154"/>
      <c r="AC382" s="154"/>
      <c r="AD382" s="154"/>
      <c r="AE382" s="154"/>
      <c r="AF382" s="154"/>
      <c r="AG382" s="154"/>
      <c r="AH382" s="154"/>
      <c r="AI382" s="155"/>
    </row>
    <row r="383" spans="1:35" s="16" customFormat="1" ht="15.75">
      <c r="A383" s="17"/>
      <c r="B383" s="6"/>
      <c r="C383" s="44"/>
      <c r="P383" s="230"/>
      <c r="Q383" s="154"/>
      <c r="R383" s="154"/>
      <c r="S383" s="154"/>
      <c r="T383" s="154"/>
      <c r="U383" s="154"/>
      <c r="V383" s="154"/>
      <c r="W383" s="154"/>
      <c r="X383" s="154"/>
      <c r="Y383" s="154"/>
      <c r="Z383" s="154"/>
      <c r="AA383" s="154"/>
      <c r="AB383" s="154"/>
      <c r="AC383" s="154"/>
      <c r="AD383" s="154"/>
      <c r="AE383" s="154"/>
      <c r="AF383" s="154"/>
      <c r="AG383" s="154"/>
      <c r="AH383" s="154"/>
      <c r="AI383" s="155"/>
    </row>
    <row r="384" spans="1:35" s="16" customFormat="1" ht="15.75">
      <c r="A384" s="17"/>
      <c r="B384" s="6"/>
      <c r="C384" s="44"/>
      <c r="P384" s="230"/>
      <c r="Q384" s="154"/>
      <c r="R384" s="154"/>
      <c r="S384" s="154"/>
      <c r="T384" s="154"/>
      <c r="U384" s="154"/>
      <c r="V384" s="154"/>
      <c r="W384" s="154"/>
      <c r="X384" s="154"/>
      <c r="Y384" s="154"/>
      <c r="Z384" s="154"/>
      <c r="AA384" s="154"/>
      <c r="AB384" s="154"/>
      <c r="AC384" s="154"/>
      <c r="AD384" s="154"/>
      <c r="AE384" s="154"/>
      <c r="AF384" s="154"/>
      <c r="AG384" s="154"/>
      <c r="AH384" s="154"/>
      <c r="AI384" s="155"/>
    </row>
    <row r="385" spans="1:35" s="16" customFormat="1" ht="15.75">
      <c r="A385" s="17"/>
      <c r="B385" s="6"/>
      <c r="C385" s="44"/>
      <c r="P385" s="230"/>
      <c r="Q385" s="154"/>
      <c r="R385" s="154"/>
      <c r="S385" s="154"/>
      <c r="T385" s="154"/>
      <c r="U385" s="154"/>
      <c r="V385" s="154"/>
      <c r="W385" s="154"/>
      <c r="X385" s="154"/>
      <c r="Y385" s="154"/>
      <c r="Z385" s="154"/>
      <c r="AA385" s="154"/>
      <c r="AB385" s="154"/>
      <c r="AC385" s="154"/>
      <c r="AD385" s="154"/>
      <c r="AE385" s="154"/>
      <c r="AF385" s="154"/>
      <c r="AG385" s="154"/>
      <c r="AH385" s="154"/>
      <c r="AI385" s="155"/>
    </row>
    <row r="386" spans="1:35" s="16" customFormat="1" ht="15.75">
      <c r="A386" s="17"/>
      <c r="B386" s="6"/>
      <c r="C386" s="44"/>
      <c r="P386" s="230"/>
      <c r="Q386" s="154"/>
      <c r="R386" s="154"/>
      <c r="S386" s="154"/>
      <c r="T386" s="154"/>
      <c r="U386" s="154"/>
      <c r="V386" s="154"/>
      <c r="W386" s="154"/>
      <c r="X386" s="154"/>
      <c r="Y386" s="154"/>
      <c r="Z386" s="154"/>
      <c r="AA386" s="154"/>
      <c r="AB386" s="154"/>
      <c r="AC386" s="154"/>
      <c r="AD386" s="154"/>
      <c r="AE386" s="154"/>
      <c r="AF386" s="154"/>
      <c r="AG386" s="154"/>
      <c r="AH386" s="154"/>
      <c r="AI386" s="155"/>
    </row>
    <row r="387" spans="1:35" s="16" customFormat="1" ht="15.75">
      <c r="A387" s="17"/>
      <c r="B387" s="6"/>
      <c r="C387" s="44"/>
      <c r="P387" s="230"/>
      <c r="Q387" s="154"/>
      <c r="R387" s="154"/>
      <c r="S387" s="154"/>
      <c r="T387" s="154"/>
      <c r="U387" s="154"/>
      <c r="V387" s="154"/>
      <c r="W387" s="154"/>
      <c r="X387" s="154"/>
      <c r="Y387" s="154"/>
      <c r="Z387" s="154"/>
      <c r="AA387" s="154"/>
      <c r="AB387" s="154"/>
      <c r="AC387" s="154"/>
      <c r="AD387" s="154"/>
      <c r="AE387" s="154"/>
      <c r="AF387" s="154"/>
      <c r="AG387" s="154"/>
      <c r="AH387" s="154"/>
      <c r="AI387" s="155"/>
    </row>
    <row r="388" spans="1:35" s="16" customFormat="1" ht="15.75">
      <c r="A388" s="17"/>
      <c r="B388" s="6"/>
      <c r="C388" s="44"/>
      <c r="P388" s="230"/>
      <c r="Q388" s="154"/>
      <c r="R388" s="154"/>
      <c r="S388" s="154"/>
      <c r="T388" s="154"/>
      <c r="U388" s="154"/>
      <c r="V388" s="154"/>
      <c r="W388" s="154"/>
      <c r="X388" s="154"/>
      <c r="Y388" s="154"/>
      <c r="Z388" s="154"/>
      <c r="AA388" s="154"/>
      <c r="AB388" s="154"/>
      <c r="AC388" s="154"/>
      <c r="AD388" s="154"/>
      <c r="AE388" s="154"/>
      <c r="AF388" s="154"/>
      <c r="AG388" s="154"/>
      <c r="AH388" s="154"/>
      <c r="AI388" s="155"/>
    </row>
    <row r="389" spans="1:35" s="16" customFormat="1" ht="15.75">
      <c r="A389" s="17"/>
      <c r="B389" s="6"/>
      <c r="C389" s="44"/>
      <c r="P389" s="230"/>
      <c r="Q389" s="154"/>
      <c r="R389" s="154"/>
      <c r="S389" s="154"/>
      <c r="T389" s="154"/>
      <c r="U389" s="154"/>
      <c r="V389" s="154"/>
      <c r="W389" s="154"/>
      <c r="X389" s="154"/>
      <c r="Y389" s="154"/>
      <c r="Z389" s="154"/>
      <c r="AA389" s="154"/>
      <c r="AB389" s="154"/>
      <c r="AC389" s="154"/>
      <c r="AD389" s="154"/>
      <c r="AE389" s="154"/>
      <c r="AF389" s="154"/>
      <c r="AG389" s="154"/>
      <c r="AH389" s="154"/>
      <c r="AI389" s="155"/>
    </row>
    <row r="390" spans="1:35" s="16" customFormat="1" ht="15.75">
      <c r="A390" s="17"/>
      <c r="B390" s="6"/>
      <c r="C390" s="44"/>
      <c r="P390" s="230"/>
      <c r="Q390" s="154"/>
      <c r="R390" s="154"/>
      <c r="S390" s="154"/>
      <c r="T390" s="154"/>
      <c r="U390" s="154"/>
      <c r="V390" s="154"/>
      <c r="W390" s="154"/>
      <c r="X390" s="154"/>
      <c r="Y390" s="154"/>
      <c r="Z390" s="154"/>
      <c r="AA390" s="154"/>
      <c r="AB390" s="154"/>
      <c r="AC390" s="154"/>
      <c r="AD390" s="154"/>
      <c r="AE390" s="154"/>
      <c r="AF390" s="154"/>
      <c r="AG390" s="154"/>
      <c r="AH390" s="154"/>
      <c r="AI390" s="155"/>
    </row>
    <row r="391" spans="1:35" s="16" customFormat="1" ht="15.75">
      <c r="A391" s="17"/>
      <c r="B391" s="6"/>
      <c r="C391" s="44"/>
      <c r="P391" s="230"/>
      <c r="Q391" s="154"/>
      <c r="R391" s="154"/>
      <c r="S391" s="154"/>
      <c r="T391" s="154"/>
      <c r="U391" s="154"/>
      <c r="V391" s="154"/>
      <c r="W391" s="154"/>
      <c r="X391" s="154"/>
      <c r="Y391" s="154"/>
      <c r="Z391" s="154"/>
      <c r="AA391" s="154"/>
      <c r="AB391" s="154"/>
      <c r="AC391" s="154"/>
      <c r="AD391" s="154"/>
      <c r="AE391" s="154"/>
      <c r="AF391" s="154"/>
      <c r="AG391" s="154"/>
      <c r="AH391" s="154"/>
      <c r="AI391" s="155"/>
    </row>
    <row r="392" spans="1:35" s="16" customFormat="1" ht="15.75">
      <c r="A392" s="17"/>
      <c r="B392" s="6"/>
      <c r="C392" s="44"/>
      <c r="P392" s="230"/>
      <c r="Q392" s="154"/>
      <c r="R392" s="154"/>
      <c r="S392" s="154"/>
      <c r="T392" s="154"/>
      <c r="U392" s="154"/>
      <c r="V392" s="154"/>
      <c r="W392" s="154"/>
      <c r="X392" s="154"/>
      <c r="Y392" s="154"/>
      <c r="Z392" s="154"/>
      <c r="AA392" s="154"/>
      <c r="AB392" s="154"/>
      <c r="AC392" s="154"/>
      <c r="AD392" s="154"/>
      <c r="AE392" s="154"/>
      <c r="AF392" s="154"/>
      <c r="AG392" s="154"/>
      <c r="AH392" s="154"/>
      <c r="AI392" s="155"/>
    </row>
    <row r="393" spans="1:35" s="16" customFormat="1" ht="15.75">
      <c r="A393" s="17"/>
      <c r="B393" s="6"/>
      <c r="C393" s="44"/>
      <c r="P393" s="230"/>
      <c r="Q393" s="154"/>
      <c r="R393" s="154"/>
      <c r="S393" s="154"/>
      <c r="T393" s="154"/>
      <c r="U393" s="154"/>
      <c r="V393" s="154"/>
      <c r="W393" s="154"/>
      <c r="X393" s="154"/>
      <c r="Y393" s="154"/>
      <c r="Z393" s="154"/>
      <c r="AA393" s="154"/>
      <c r="AB393" s="154"/>
      <c r="AC393" s="154"/>
      <c r="AD393" s="154"/>
      <c r="AE393" s="154"/>
      <c r="AF393" s="154"/>
      <c r="AG393" s="154"/>
      <c r="AH393" s="154"/>
      <c r="AI393" s="155"/>
    </row>
    <row r="394" spans="1:35" s="16" customFormat="1" ht="15.75">
      <c r="A394" s="17"/>
      <c r="B394" s="6"/>
      <c r="C394" s="44"/>
      <c r="P394" s="230"/>
      <c r="Q394" s="154"/>
      <c r="R394" s="154"/>
      <c r="S394" s="154"/>
      <c r="T394" s="154"/>
      <c r="U394" s="154"/>
      <c r="V394" s="154"/>
      <c r="W394" s="154"/>
      <c r="X394" s="154"/>
      <c r="Y394" s="154"/>
      <c r="Z394" s="154"/>
      <c r="AA394" s="154"/>
      <c r="AB394" s="154"/>
      <c r="AC394" s="154"/>
      <c r="AD394" s="154"/>
      <c r="AE394" s="154"/>
      <c r="AF394" s="154"/>
      <c r="AG394" s="154"/>
      <c r="AH394" s="154"/>
      <c r="AI394" s="155"/>
    </row>
    <row r="395" spans="1:35" s="16" customFormat="1" ht="15.75">
      <c r="A395" s="17"/>
      <c r="B395" s="6"/>
      <c r="C395" s="44"/>
      <c r="P395" s="230"/>
      <c r="Q395" s="154"/>
      <c r="R395" s="154"/>
      <c r="S395" s="154"/>
      <c r="T395" s="154"/>
      <c r="U395" s="154"/>
      <c r="V395" s="154"/>
      <c r="W395" s="154"/>
      <c r="X395" s="154"/>
      <c r="Y395" s="154"/>
      <c r="Z395" s="154"/>
      <c r="AA395" s="154"/>
      <c r="AB395" s="154"/>
      <c r="AC395" s="154"/>
      <c r="AD395" s="154"/>
      <c r="AE395" s="154"/>
      <c r="AF395" s="154"/>
      <c r="AG395" s="154"/>
      <c r="AH395" s="154"/>
      <c r="AI395" s="155"/>
    </row>
    <row r="396" spans="1:35" s="16" customFormat="1" ht="15.75">
      <c r="A396" s="17"/>
      <c r="B396" s="6"/>
      <c r="C396" s="44"/>
      <c r="P396" s="230"/>
      <c r="Q396" s="154"/>
      <c r="R396" s="154"/>
      <c r="S396" s="154"/>
      <c r="T396" s="154"/>
      <c r="U396" s="154"/>
      <c r="V396" s="154"/>
      <c r="W396" s="154"/>
      <c r="X396" s="154"/>
      <c r="Y396" s="154"/>
      <c r="Z396" s="154"/>
      <c r="AA396" s="154"/>
      <c r="AB396" s="154"/>
      <c r="AC396" s="154"/>
      <c r="AD396" s="154"/>
      <c r="AE396" s="154"/>
      <c r="AF396" s="154"/>
      <c r="AG396" s="154"/>
      <c r="AH396" s="154"/>
      <c r="AI396" s="155"/>
    </row>
    <row r="397" spans="1:35" s="16" customFormat="1" ht="15.75">
      <c r="A397" s="17"/>
      <c r="B397" s="6"/>
      <c r="C397" s="44"/>
      <c r="P397" s="230"/>
      <c r="Q397" s="154"/>
      <c r="R397" s="154"/>
      <c r="S397" s="154"/>
      <c r="T397" s="154"/>
      <c r="U397" s="154"/>
      <c r="V397" s="154"/>
      <c r="W397" s="154"/>
      <c r="X397" s="154"/>
      <c r="Y397" s="154"/>
      <c r="Z397" s="154"/>
      <c r="AA397" s="154"/>
      <c r="AB397" s="154"/>
      <c r="AC397" s="154"/>
      <c r="AD397" s="154"/>
      <c r="AE397" s="154"/>
      <c r="AF397" s="154"/>
      <c r="AG397" s="154"/>
      <c r="AH397" s="154"/>
      <c r="AI397" s="155"/>
    </row>
    <row r="398" spans="1:35" s="16" customFormat="1" ht="15.75">
      <c r="A398" s="17"/>
      <c r="B398" s="6"/>
      <c r="C398" s="44"/>
      <c r="P398" s="230"/>
      <c r="Q398" s="154"/>
      <c r="R398" s="154"/>
      <c r="S398" s="154"/>
      <c r="T398" s="154"/>
      <c r="U398" s="154"/>
      <c r="V398" s="154"/>
      <c r="W398" s="154"/>
      <c r="X398" s="154"/>
      <c r="Y398" s="154"/>
      <c r="Z398" s="154"/>
      <c r="AA398" s="154"/>
      <c r="AB398" s="154"/>
      <c r="AC398" s="154"/>
      <c r="AD398" s="154"/>
      <c r="AE398" s="154"/>
      <c r="AF398" s="154"/>
      <c r="AG398" s="154"/>
      <c r="AH398" s="154"/>
      <c r="AI398" s="155"/>
    </row>
    <row r="399" spans="1:35" s="16" customFormat="1" ht="15.75">
      <c r="A399" s="17"/>
      <c r="B399" s="6"/>
      <c r="C399" s="44"/>
      <c r="P399" s="230"/>
      <c r="Q399" s="154"/>
      <c r="R399" s="154"/>
      <c r="S399" s="154"/>
      <c r="T399" s="154"/>
      <c r="U399" s="154"/>
      <c r="V399" s="154"/>
      <c r="W399" s="154"/>
      <c r="X399" s="154"/>
      <c r="Y399" s="154"/>
      <c r="Z399" s="154"/>
      <c r="AA399" s="154"/>
      <c r="AB399" s="154"/>
      <c r="AC399" s="154"/>
      <c r="AD399" s="154"/>
      <c r="AE399" s="154"/>
      <c r="AF399" s="154"/>
      <c r="AG399" s="154"/>
      <c r="AH399" s="154"/>
      <c r="AI399" s="155"/>
    </row>
    <row r="400" spans="1:35" s="16" customFormat="1" ht="15.75">
      <c r="A400" s="17"/>
      <c r="B400" s="6"/>
      <c r="C400" s="44"/>
      <c r="P400" s="230"/>
      <c r="Q400" s="154"/>
      <c r="R400" s="154"/>
      <c r="S400" s="154"/>
      <c r="T400" s="154"/>
      <c r="U400" s="154"/>
      <c r="V400" s="154"/>
      <c r="W400" s="154"/>
      <c r="X400" s="154"/>
      <c r="Y400" s="154"/>
      <c r="Z400" s="154"/>
      <c r="AA400" s="154"/>
      <c r="AB400" s="154"/>
      <c r="AC400" s="154"/>
      <c r="AD400" s="154"/>
      <c r="AE400" s="154"/>
      <c r="AF400" s="154"/>
      <c r="AG400" s="154"/>
      <c r="AH400" s="154"/>
      <c r="AI400" s="155"/>
    </row>
    <row r="401" spans="1:35" s="16" customFormat="1" ht="15.75">
      <c r="A401" s="17"/>
      <c r="B401" s="6"/>
      <c r="C401" s="44"/>
      <c r="P401" s="230"/>
      <c r="Q401" s="154"/>
      <c r="R401" s="154"/>
      <c r="S401" s="154"/>
      <c r="T401" s="154"/>
      <c r="U401" s="154"/>
      <c r="V401" s="154"/>
      <c r="W401" s="154"/>
      <c r="X401" s="154"/>
      <c r="Y401" s="154"/>
      <c r="Z401" s="154"/>
      <c r="AA401" s="154"/>
      <c r="AB401" s="154"/>
      <c r="AC401" s="154"/>
      <c r="AD401" s="154"/>
      <c r="AE401" s="154"/>
      <c r="AF401" s="154"/>
      <c r="AG401" s="154"/>
      <c r="AH401" s="154"/>
      <c r="AI401" s="155"/>
    </row>
    <row r="402" spans="1:35" s="16" customFormat="1" ht="15.75">
      <c r="A402" s="17"/>
      <c r="B402" s="6"/>
      <c r="C402" s="44"/>
      <c r="P402" s="230"/>
      <c r="Q402" s="154"/>
      <c r="R402" s="154"/>
      <c r="S402" s="154"/>
      <c r="T402" s="154"/>
      <c r="U402" s="154"/>
      <c r="V402" s="154"/>
      <c r="W402" s="154"/>
      <c r="X402" s="154"/>
      <c r="Y402" s="154"/>
      <c r="Z402" s="154"/>
      <c r="AA402" s="154"/>
      <c r="AB402" s="154"/>
      <c r="AC402" s="154"/>
      <c r="AD402" s="154"/>
      <c r="AE402" s="154"/>
      <c r="AF402" s="154"/>
      <c r="AG402" s="154"/>
      <c r="AH402" s="154"/>
      <c r="AI402" s="155"/>
    </row>
    <row r="403" spans="1:35" s="16" customFormat="1" ht="15.75">
      <c r="A403" s="17"/>
      <c r="B403" s="6"/>
      <c r="C403" s="44"/>
      <c r="P403" s="230"/>
      <c r="Q403" s="154"/>
      <c r="R403" s="154"/>
      <c r="S403" s="154"/>
      <c r="T403" s="154"/>
      <c r="U403" s="154"/>
      <c r="V403" s="154"/>
      <c r="W403" s="154"/>
      <c r="X403" s="154"/>
      <c r="Y403" s="154"/>
      <c r="Z403" s="154"/>
      <c r="AA403" s="154"/>
      <c r="AB403" s="154"/>
      <c r="AC403" s="154"/>
      <c r="AD403" s="154"/>
      <c r="AE403" s="154"/>
      <c r="AF403" s="154"/>
      <c r="AG403" s="154"/>
      <c r="AH403" s="154"/>
      <c r="AI403" s="155"/>
    </row>
    <row r="404" spans="1:35" s="16" customFormat="1" ht="15.75">
      <c r="A404" s="17"/>
      <c r="B404" s="6"/>
      <c r="C404" s="44"/>
      <c r="P404" s="230"/>
      <c r="Q404" s="154"/>
      <c r="R404" s="154"/>
      <c r="S404" s="154"/>
      <c r="T404" s="154"/>
      <c r="U404" s="154"/>
      <c r="V404" s="154"/>
      <c r="W404" s="154"/>
      <c r="X404" s="154"/>
      <c r="Y404" s="154"/>
      <c r="Z404" s="154"/>
      <c r="AA404" s="154"/>
      <c r="AB404" s="154"/>
      <c r="AC404" s="154"/>
      <c r="AD404" s="154"/>
      <c r="AE404" s="154"/>
      <c r="AF404" s="154"/>
      <c r="AG404" s="154"/>
      <c r="AH404" s="154"/>
      <c r="AI404" s="155"/>
    </row>
    <row r="405" spans="1:35" s="16" customFormat="1" ht="15.75">
      <c r="A405" s="17"/>
      <c r="B405" s="6"/>
      <c r="C405" s="44"/>
      <c r="P405" s="230"/>
      <c r="Q405" s="154"/>
      <c r="R405" s="154"/>
      <c r="S405" s="154"/>
      <c r="T405" s="154"/>
      <c r="U405" s="154"/>
      <c r="V405" s="154"/>
      <c r="W405" s="154"/>
      <c r="X405" s="154"/>
      <c r="Y405" s="154"/>
      <c r="Z405" s="154"/>
      <c r="AA405" s="154"/>
      <c r="AB405" s="154"/>
      <c r="AC405" s="154"/>
      <c r="AD405" s="154"/>
      <c r="AE405" s="154"/>
      <c r="AF405" s="154"/>
      <c r="AG405" s="154"/>
      <c r="AH405" s="154"/>
      <c r="AI405" s="155"/>
    </row>
    <row r="406" spans="1:35" s="16" customFormat="1" ht="15.75">
      <c r="A406" s="17"/>
      <c r="B406" s="6"/>
      <c r="C406" s="44"/>
      <c r="P406" s="230"/>
      <c r="Q406" s="154"/>
      <c r="R406" s="154"/>
      <c r="S406" s="154"/>
      <c r="T406" s="154"/>
      <c r="U406" s="154"/>
      <c r="V406" s="154"/>
      <c r="W406" s="154"/>
      <c r="X406" s="154"/>
      <c r="Y406" s="154"/>
      <c r="Z406" s="154"/>
      <c r="AA406" s="154"/>
      <c r="AB406" s="154"/>
      <c r="AC406" s="154"/>
      <c r="AD406" s="154"/>
      <c r="AE406" s="154"/>
      <c r="AF406" s="154"/>
      <c r="AG406" s="154"/>
      <c r="AH406" s="154"/>
      <c r="AI406" s="155"/>
    </row>
    <row r="407" spans="1:35" s="16" customFormat="1" ht="15.75">
      <c r="A407" s="17"/>
      <c r="B407" s="6"/>
      <c r="C407" s="44"/>
      <c r="P407" s="230"/>
      <c r="Q407" s="154"/>
      <c r="R407" s="154"/>
      <c r="S407" s="154"/>
      <c r="T407" s="154"/>
      <c r="U407" s="154"/>
      <c r="V407" s="154"/>
      <c r="W407" s="154"/>
      <c r="X407" s="154"/>
      <c r="Y407" s="154"/>
      <c r="Z407" s="154"/>
      <c r="AA407" s="154"/>
      <c r="AB407" s="154"/>
      <c r="AC407" s="154"/>
      <c r="AD407" s="154"/>
      <c r="AE407" s="154"/>
      <c r="AF407" s="154"/>
      <c r="AG407" s="154"/>
      <c r="AH407" s="154"/>
      <c r="AI407" s="155"/>
    </row>
    <row r="408" spans="1:35" s="16" customFormat="1" ht="15.75">
      <c r="A408" s="17"/>
      <c r="B408" s="6"/>
      <c r="C408" s="44"/>
      <c r="P408" s="230"/>
      <c r="Q408" s="154"/>
      <c r="R408" s="154"/>
      <c r="S408" s="154"/>
      <c r="T408" s="154"/>
      <c r="U408" s="154"/>
      <c r="V408" s="154"/>
      <c r="W408" s="154"/>
      <c r="X408" s="154"/>
      <c r="Y408" s="154"/>
      <c r="Z408" s="154"/>
      <c r="AA408" s="154"/>
      <c r="AB408" s="154"/>
      <c r="AC408" s="154"/>
      <c r="AD408" s="154"/>
      <c r="AE408" s="154"/>
      <c r="AF408" s="154"/>
      <c r="AG408" s="154"/>
      <c r="AH408" s="154"/>
      <c r="AI408" s="155"/>
    </row>
    <row r="409" spans="1:35" s="16" customFormat="1" ht="15.75">
      <c r="A409" s="17"/>
      <c r="B409" s="6"/>
      <c r="C409" s="44"/>
      <c r="P409" s="230"/>
      <c r="Q409" s="154"/>
      <c r="R409" s="154"/>
      <c r="S409" s="154"/>
      <c r="T409" s="154"/>
      <c r="U409" s="154"/>
      <c r="V409" s="154"/>
      <c r="W409" s="154"/>
      <c r="X409" s="154"/>
      <c r="Y409" s="154"/>
      <c r="Z409" s="154"/>
      <c r="AA409" s="154"/>
      <c r="AB409" s="154"/>
      <c r="AC409" s="154"/>
      <c r="AD409" s="154"/>
      <c r="AE409" s="154"/>
      <c r="AF409" s="154"/>
      <c r="AG409" s="154"/>
      <c r="AH409" s="154"/>
      <c r="AI409" s="155"/>
    </row>
    <row r="410" spans="1:35" s="16" customFormat="1" ht="15.75">
      <c r="A410" s="17"/>
      <c r="B410" s="6"/>
      <c r="C410" s="44"/>
      <c r="P410" s="230"/>
      <c r="Q410" s="154"/>
      <c r="R410" s="154"/>
      <c r="S410" s="154"/>
      <c r="T410" s="154"/>
      <c r="U410" s="154"/>
      <c r="V410" s="154"/>
      <c r="W410" s="154"/>
      <c r="X410" s="154"/>
      <c r="Y410" s="154"/>
      <c r="Z410" s="154"/>
      <c r="AA410" s="154"/>
      <c r="AB410" s="154"/>
      <c r="AC410" s="154"/>
      <c r="AD410" s="154"/>
      <c r="AE410" s="154"/>
      <c r="AF410" s="154"/>
      <c r="AG410" s="154"/>
      <c r="AH410" s="154"/>
      <c r="AI410" s="155"/>
    </row>
    <row r="411" spans="1:35" s="16" customFormat="1" ht="15.75">
      <c r="A411" s="17"/>
      <c r="B411" s="6"/>
      <c r="C411" s="44"/>
      <c r="P411" s="230"/>
      <c r="Q411" s="154"/>
      <c r="R411" s="154"/>
      <c r="S411" s="154"/>
      <c r="T411" s="154"/>
      <c r="U411" s="154"/>
      <c r="V411" s="154"/>
      <c r="W411" s="154"/>
      <c r="X411" s="154"/>
      <c r="Y411" s="154"/>
      <c r="Z411" s="154"/>
      <c r="AA411" s="154"/>
      <c r="AB411" s="154"/>
      <c r="AC411" s="154"/>
      <c r="AD411" s="154"/>
      <c r="AE411" s="154"/>
      <c r="AF411" s="154"/>
      <c r="AG411" s="154"/>
      <c r="AH411" s="154"/>
      <c r="AI411" s="155"/>
    </row>
    <row r="412" spans="1:35" s="16" customFormat="1" ht="15.75">
      <c r="A412" s="17"/>
      <c r="B412" s="6"/>
      <c r="C412" s="44"/>
      <c r="P412" s="230"/>
      <c r="Q412" s="154"/>
      <c r="R412" s="154"/>
      <c r="S412" s="154"/>
      <c r="T412" s="154"/>
      <c r="U412" s="154"/>
      <c r="V412" s="154"/>
      <c r="W412" s="154"/>
      <c r="X412" s="154"/>
      <c r="Y412" s="154"/>
      <c r="Z412" s="154"/>
      <c r="AA412" s="154"/>
      <c r="AB412" s="154"/>
      <c r="AC412" s="154"/>
      <c r="AD412" s="154"/>
      <c r="AE412" s="154"/>
      <c r="AF412" s="154"/>
      <c r="AG412" s="154"/>
      <c r="AH412" s="154"/>
      <c r="AI412" s="155"/>
    </row>
    <row r="413" spans="1:35" s="16" customFormat="1" ht="15.75">
      <c r="A413" s="17"/>
      <c r="B413" s="6"/>
      <c r="C413" s="44"/>
      <c r="P413" s="230"/>
      <c r="Q413" s="154"/>
      <c r="R413" s="154"/>
      <c r="S413" s="154"/>
      <c r="T413" s="154"/>
      <c r="U413" s="154"/>
      <c r="V413" s="154"/>
      <c r="W413" s="154"/>
      <c r="X413" s="154"/>
      <c r="Y413" s="154"/>
      <c r="Z413" s="154"/>
      <c r="AA413" s="154"/>
      <c r="AB413" s="154"/>
      <c r="AC413" s="154"/>
      <c r="AD413" s="154"/>
      <c r="AE413" s="154"/>
      <c r="AF413" s="154"/>
      <c r="AG413" s="154"/>
      <c r="AH413" s="154"/>
      <c r="AI413" s="155"/>
    </row>
    <row r="414" spans="1:35" s="16" customFormat="1" ht="15.75">
      <c r="A414" s="17"/>
      <c r="B414" s="6"/>
      <c r="C414" s="44"/>
      <c r="P414" s="230"/>
      <c r="Q414" s="154"/>
      <c r="R414" s="154"/>
      <c r="S414" s="154"/>
      <c r="T414" s="154"/>
      <c r="U414" s="154"/>
      <c r="V414" s="154"/>
      <c r="W414" s="154"/>
      <c r="X414" s="154"/>
      <c r="Y414" s="154"/>
      <c r="Z414" s="154"/>
      <c r="AA414" s="154"/>
      <c r="AB414" s="154"/>
      <c r="AC414" s="154"/>
      <c r="AD414" s="154"/>
      <c r="AE414" s="154"/>
      <c r="AF414" s="154"/>
      <c r="AG414" s="154"/>
      <c r="AH414" s="154"/>
      <c r="AI414" s="155"/>
    </row>
    <row r="415" spans="1:35" s="16" customFormat="1" ht="15.75">
      <c r="A415" s="17"/>
      <c r="B415" s="6"/>
      <c r="C415" s="44"/>
      <c r="P415" s="230"/>
      <c r="Q415" s="154"/>
      <c r="R415" s="154"/>
      <c r="S415" s="154"/>
      <c r="T415" s="154"/>
      <c r="U415" s="154"/>
      <c r="V415" s="154"/>
      <c r="W415" s="154"/>
      <c r="X415" s="154"/>
      <c r="Y415" s="154"/>
      <c r="Z415" s="154"/>
      <c r="AA415" s="154"/>
      <c r="AB415" s="154"/>
      <c r="AC415" s="154"/>
      <c r="AD415" s="154"/>
      <c r="AE415" s="154"/>
      <c r="AF415" s="154"/>
      <c r="AG415" s="154"/>
      <c r="AH415" s="154"/>
      <c r="AI415" s="155"/>
    </row>
    <row r="416" spans="1:35" s="16" customFormat="1" ht="15.75">
      <c r="A416" s="17"/>
      <c r="B416" s="6"/>
      <c r="C416" s="44"/>
      <c r="P416" s="230"/>
      <c r="Q416" s="154"/>
      <c r="R416" s="154"/>
      <c r="S416" s="154"/>
      <c r="T416" s="154"/>
      <c r="U416" s="154"/>
      <c r="V416" s="154"/>
      <c r="W416" s="154"/>
      <c r="X416" s="154"/>
      <c r="Y416" s="154"/>
      <c r="Z416" s="154"/>
      <c r="AA416" s="154"/>
      <c r="AB416" s="154"/>
      <c r="AC416" s="154"/>
      <c r="AD416" s="154"/>
      <c r="AE416" s="154"/>
      <c r="AF416" s="154"/>
      <c r="AG416" s="154"/>
      <c r="AH416" s="154"/>
      <c r="AI416" s="155"/>
    </row>
    <row r="417" spans="1:35" s="16" customFormat="1" ht="15.75">
      <c r="A417" s="17"/>
      <c r="B417" s="6"/>
      <c r="C417" s="44"/>
      <c r="P417" s="230"/>
      <c r="Q417" s="154"/>
      <c r="R417" s="154"/>
      <c r="S417" s="154"/>
      <c r="T417" s="154"/>
      <c r="U417" s="154"/>
      <c r="V417" s="154"/>
      <c r="W417" s="154"/>
      <c r="X417" s="154"/>
      <c r="Y417" s="154"/>
      <c r="Z417" s="154"/>
      <c r="AA417" s="154"/>
      <c r="AB417" s="154"/>
      <c r="AC417" s="154"/>
      <c r="AD417" s="154"/>
      <c r="AE417" s="154"/>
      <c r="AF417" s="154"/>
      <c r="AG417" s="154"/>
      <c r="AH417" s="154"/>
      <c r="AI417" s="155"/>
    </row>
    <row r="418" spans="1:35" s="16" customFormat="1" ht="15.75">
      <c r="A418" s="17"/>
      <c r="B418" s="6"/>
      <c r="C418" s="44"/>
      <c r="P418" s="230"/>
      <c r="Q418" s="154"/>
      <c r="R418" s="154"/>
      <c r="S418" s="154"/>
      <c r="T418" s="154"/>
      <c r="U418" s="154"/>
      <c r="V418" s="154"/>
      <c r="W418" s="154"/>
      <c r="X418" s="154"/>
      <c r="Y418" s="154"/>
      <c r="Z418" s="154"/>
      <c r="AA418" s="154"/>
      <c r="AB418" s="154"/>
      <c r="AC418" s="154"/>
      <c r="AD418" s="154"/>
      <c r="AE418" s="154"/>
      <c r="AF418" s="154"/>
      <c r="AG418" s="154"/>
      <c r="AH418" s="154"/>
      <c r="AI418" s="155"/>
    </row>
    <row r="419" spans="1:35" s="16" customFormat="1" ht="15.75">
      <c r="A419" s="17"/>
      <c r="B419" s="6"/>
      <c r="C419" s="44"/>
      <c r="P419" s="230"/>
      <c r="Q419" s="154"/>
      <c r="R419" s="154"/>
      <c r="S419" s="154"/>
      <c r="T419" s="154"/>
      <c r="U419" s="154"/>
      <c r="V419" s="154"/>
      <c r="W419" s="154"/>
      <c r="X419" s="154"/>
      <c r="Y419" s="154"/>
      <c r="Z419" s="154"/>
      <c r="AA419" s="154"/>
      <c r="AB419" s="154"/>
      <c r="AC419" s="154"/>
      <c r="AD419" s="154"/>
      <c r="AE419" s="154"/>
      <c r="AF419" s="154"/>
      <c r="AG419" s="154"/>
      <c r="AH419" s="154"/>
      <c r="AI419" s="155"/>
    </row>
    <row r="420" spans="1:35" s="16" customFormat="1" ht="15.75">
      <c r="A420" s="17"/>
      <c r="B420" s="6"/>
      <c r="C420" s="44"/>
      <c r="P420" s="230"/>
      <c r="Q420" s="154"/>
      <c r="R420" s="154"/>
      <c r="S420" s="154"/>
      <c r="T420" s="154"/>
      <c r="U420" s="154"/>
      <c r="V420" s="154"/>
      <c r="W420" s="154"/>
      <c r="X420" s="154"/>
      <c r="Y420" s="154"/>
      <c r="Z420" s="154"/>
      <c r="AA420" s="154"/>
      <c r="AB420" s="154"/>
      <c r="AC420" s="154"/>
      <c r="AD420" s="154"/>
      <c r="AE420" s="154"/>
      <c r="AF420" s="154"/>
      <c r="AG420" s="154"/>
      <c r="AH420" s="154"/>
      <c r="AI420" s="155"/>
    </row>
    <row r="421" spans="1:35" s="16" customFormat="1" ht="15.75">
      <c r="A421" s="17"/>
      <c r="B421" s="6"/>
      <c r="C421" s="44"/>
      <c r="P421" s="230"/>
      <c r="Q421" s="154"/>
      <c r="R421" s="154"/>
      <c r="S421" s="154"/>
      <c r="T421" s="154"/>
      <c r="U421" s="154"/>
      <c r="V421" s="154"/>
      <c r="W421" s="154"/>
      <c r="X421" s="154"/>
      <c r="Y421" s="154"/>
      <c r="Z421" s="154"/>
      <c r="AA421" s="154"/>
      <c r="AB421" s="154"/>
      <c r="AC421" s="154"/>
      <c r="AD421" s="154"/>
      <c r="AE421" s="154"/>
      <c r="AF421" s="154"/>
      <c r="AG421" s="154"/>
      <c r="AH421" s="154"/>
      <c r="AI421" s="155"/>
    </row>
    <row r="422" spans="1:35" s="16" customFormat="1" ht="15.75">
      <c r="A422" s="17"/>
      <c r="B422" s="6"/>
      <c r="C422" s="44"/>
      <c r="P422" s="230"/>
      <c r="Q422" s="154"/>
      <c r="R422" s="154"/>
      <c r="S422" s="154"/>
      <c r="T422" s="154"/>
      <c r="U422" s="154"/>
      <c r="V422" s="154"/>
      <c r="W422" s="154"/>
      <c r="X422" s="154"/>
      <c r="Y422" s="154"/>
      <c r="Z422" s="154"/>
      <c r="AA422" s="154"/>
      <c r="AB422" s="154"/>
      <c r="AC422" s="154"/>
      <c r="AD422" s="154"/>
      <c r="AE422" s="154"/>
      <c r="AF422" s="154"/>
      <c r="AG422" s="154"/>
      <c r="AH422" s="154"/>
      <c r="AI422" s="155"/>
    </row>
    <row r="423" spans="1:35" s="16" customFormat="1" ht="15.75">
      <c r="A423" s="17"/>
      <c r="B423" s="6"/>
      <c r="C423" s="44"/>
      <c r="P423" s="230"/>
      <c r="Q423" s="154"/>
      <c r="R423" s="154"/>
      <c r="S423" s="154"/>
      <c r="T423" s="154"/>
      <c r="U423" s="154"/>
      <c r="V423" s="154"/>
      <c r="W423" s="154"/>
      <c r="X423" s="154"/>
      <c r="Y423" s="154"/>
      <c r="Z423" s="154"/>
      <c r="AA423" s="154"/>
      <c r="AB423" s="154"/>
      <c r="AC423" s="154"/>
      <c r="AD423" s="154"/>
      <c r="AE423" s="154"/>
      <c r="AF423" s="154"/>
      <c r="AG423" s="154"/>
      <c r="AH423" s="154"/>
      <c r="AI423" s="155"/>
    </row>
    <row r="424" spans="1:35" s="16" customFormat="1" ht="15.75">
      <c r="A424" s="17"/>
      <c r="B424" s="6"/>
      <c r="C424" s="44"/>
      <c r="P424" s="230"/>
      <c r="Q424" s="154"/>
      <c r="R424" s="154"/>
      <c r="S424" s="154"/>
      <c r="T424" s="154"/>
      <c r="U424" s="154"/>
      <c r="V424" s="154"/>
      <c r="W424" s="154"/>
      <c r="X424" s="154"/>
      <c r="Y424" s="154"/>
      <c r="Z424" s="154"/>
      <c r="AA424" s="154"/>
      <c r="AB424" s="154"/>
      <c r="AC424" s="154"/>
      <c r="AD424" s="154"/>
      <c r="AE424" s="154"/>
      <c r="AF424" s="154"/>
      <c r="AG424" s="154"/>
      <c r="AH424" s="154"/>
      <c r="AI424" s="155"/>
    </row>
    <row r="425" spans="1:35" s="16" customFormat="1" ht="15.75">
      <c r="A425" s="17"/>
      <c r="B425" s="6"/>
      <c r="C425" s="44"/>
      <c r="P425" s="230"/>
      <c r="Q425" s="154"/>
      <c r="R425" s="154"/>
      <c r="S425" s="154"/>
      <c r="T425" s="154"/>
      <c r="U425" s="154"/>
      <c r="V425" s="154"/>
      <c r="W425" s="154"/>
      <c r="X425" s="154"/>
      <c r="Y425" s="154"/>
      <c r="Z425" s="154"/>
      <c r="AA425" s="154"/>
      <c r="AB425" s="154"/>
      <c r="AC425" s="154"/>
      <c r="AD425" s="154"/>
      <c r="AE425" s="154"/>
      <c r="AF425" s="154"/>
      <c r="AG425" s="154"/>
      <c r="AH425" s="154"/>
      <c r="AI425" s="155"/>
    </row>
    <row r="426" spans="1:35" s="16" customFormat="1" ht="15.75">
      <c r="A426" s="17"/>
      <c r="B426" s="6"/>
      <c r="C426" s="44"/>
      <c r="P426" s="230"/>
      <c r="Q426" s="154"/>
      <c r="R426" s="154"/>
      <c r="S426" s="154"/>
      <c r="T426" s="154"/>
      <c r="U426" s="154"/>
      <c r="V426" s="154"/>
      <c r="W426" s="154"/>
      <c r="X426" s="154"/>
      <c r="Y426" s="154"/>
      <c r="Z426" s="154"/>
      <c r="AA426" s="154"/>
      <c r="AB426" s="154"/>
      <c r="AC426" s="154"/>
      <c r="AD426" s="154"/>
      <c r="AE426" s="154"/>
      <c r="AF426" s="154"/>
      <c r="AG426" s="154"/>
      <c r="AH426" s="154"/>
      <c r="AI426" s="155"/>
    </row>
    <row r="427" spans="1:35" s="16" customFormat="1" ht="15.75">
      <c r="A427" s="17"/>
      <c r="B427" s="6"/>
      <c r="C427" s="44"/>
      <c r="P427" s="230"/>
      <c r="Q427" s="154"/>
      <c r="R427" s="154"/>
      <c r="S427" s="154"/>
      <c r="T427" s="154"/>
      <c r="U427" s="154"/>
      <c r="V427" s="154"/>
      <c r="W427" s="154"/>
      <c r="X427" s="154"/>
      <c r="Y427" s="154"/>
      <c r="Z427" s="154"/>
      <c r="AA427" s="154"/>
      <c r="AB427" s="154"/>
      <c r="AC427" s="154"/>
      <c r="AD427" s="154"/>
      <c r="AE427" s="154"/>
      <c r="AF427" s="154"/>
      <c r="AG427" s="154"/>
      <c r="AH427" s="154"/>
      <c r="AI427" s="155"/>
    </row>
    <row r="428" spans="1:35" s="16" customFormat="1" ht="15.75">
      <c r="A428" s="17"/>
      <c r="B428" s="6"/>
      <c r="C428" s="44"/>
      <c r="P428" s="230"/>
      <c r="Q428" s="154"/>
      <c r="R428" s="154"/>
      <c r="S428" s="154"/>
      <c r="T428" s="154"/>
      <c r="U428" s="154"/>
      <c r="V428" s="154"/>
      <c r="W428" s="154"/>
      <c r="X428" s="154"/>
      <c r="Y428" s="154"/>
      <c r="Z428" s="154"/>
      <c r="AA428" s="154"/>
      <c r="AB428" s="154"/>
      <c r="AC428" s="154"/>
      <c r="AD428" s="154"/>
      <c r="AE428" s="154"/>
      <c r="AF428" s="154"/>
      <c r="AG428" s="154"/>
      <c r="AH428" s="154"/>
      <c r="AI428" s="155"/>
    </row>
    <row r="429" spans="1:35" s="16" customFormat="1" ht="15.75">
      <c r="A429" s="17"/>
      <c r="B429" s="6"/>
      <c r="C429" s="44"/>
      <c r="P429" s="230"/>
      <c r="Q429" s="154"/>
      <c r="R429" s="154"/>
      <c r="S429" s="154"/>
      <c r="T429" s="154"/>
      <c r="U429" s="154"/>
      <c r="V429" s="154"/>
      <c r="W429" s="154"/>
      <c r="X429" s="154"/>
      <c r="Y429" s="154"/>
      <c r="Z429" s="154"/>
      <c r="AA429" s="154"/>
      <c r="AB429" s="154"/>
      <c r="AC429" s="154"/>
      <c r="AD429" s="154"/>
      <c r="AE429" s="154"/>
      <c r="AF429" s="154"/>
      <c r="AG429" s="154"/>
      <c r="AH429" s="154"/>
      <c r="AI429" s="155"/>
    </row>
    <row r="430" spans="1:35" s="16" customFormat="1" ht="15.75">
      <c r="A430" s="17"/>
      <c r="B430" s="6"/>
      <c r="C430" s="44"/>
      <c r="P430" s="230"/>
      <c r="Q430" s="154"/>
      <c r="R430" s="154"/>
      <c r="S430" s="154"/>
      <c r="T430" s="154"/>
      <c r="U430" s="154"/>
      <c r="V430" s="154"/>
      <c r="W430" s="154"/>
      <c r="X430" s="154"/>
      <c r="Y430" s="154"/>
      <c r="Z430" s="154"/>
      <c r="AA430" s="154"/>
      <c r="AB430" s="154"/>
      <c r="AC430" s="154"/>
      <c r="AD430" s="154"/>
      <c r="AE430" s="154"/>
      <c r="AF430" s="154"/>
      <c r="AG430" s="154"/>
      <c r="AH430" s="154"/>
      <c r="AI430" s="155"/>
    </row>
    <row r="431" spans="1:35" s="16" customFormat="1" ht="15.75">
      <c r="A431" s="17"/>
      <c r="B431" s="6"/>
      <c r="C431" s="44"/>
      <c r="P431" s="230"/>
      <c r="Q431" s="154"/>
      <c r="R431" s="154"/>
      <c r="S431" s="154"/>
      <c r="T431" s="154"/>
      <c r="U431" s="154"/>
      <c r="V431" s="154"/>
      <c r="W431" s="154"/>
      <c r="X431" s="154"/>
      <c r="Y431" s="154"/>
      <c r="Z431" s="154"/>
      <c r="AA431" s="154"/>
      <c r="AB431" s="154"/>
      <c r="AC431" s="154"/>
      <c r="AD431" s="154"/>
      <c r="AE431" s="154"/>
      <c r="AF431" s="154"/>
      <c r="AG431" s="154"/>
      <c r="AH431" s="154"/>
      <c r="AI431" s="155"/>
    </row>
    <row r="432" spans="1:35" s="16" customFormat="1" ht="15.75">
      <c r="A432" s="17"/>
      <c r="B432" s="6"/>
      <c r="C432" s="44"/>
      <c r="P432" s="230"/>
      <c r="Q432" s="154"/>
      <c r="R432" s="154"/>
      <c r="S432" s="154"/>
      <c r="T432" s="154"/>
      <c r="U432" s="154"/>
      <c r="V432" s="154"/>
      <c r="W432" s="154"/>
      <c r="X432" s="154"/>
      <c r="Y432" s="154"/>
      <c r="Z432" s="154"/>
      <c r="AA432" s="154"/>
      <c r="AB432" s="154"/>
      <c r="AC432" s="154"/>
      <c r="AD432" s="154"/>
      <c r="AE432" s="154"/>
      <c r="AF432" s="154"/>
      <c r="AG432" s="154"/>
      <c r="AH432" s="154"/>
      <c r="AI432" s="155"/>
    </row>
    <row r="433" spans="1:35" s="16" customFormat="1" ht="15.75">
      <c r="A433" s="17"/>
      <c r="B433" s="6"/>
      <c r="C433" s="44"/>
      <c r="P433" s="230"/>
      <c r="Q433" s="154"/>
      <c r="R433" s="154"/>
      <c r="S433" s="154"/>
      <c r="T433" s="154"/>
      <c r="U433" s="154"/>
      <c r="V433" s="154"/>
      <c r="W433" s="154"/>
      <c r="X433" s="154"/>
      <c r="Y433" s="154"/>
      <c r="Z433" s="154"/>
      <c r="AA433" s="154"/>
      <c r="AB433" s="154"/>
      <c r="AC433" s="154"/>
      <c r="AD433" s="154"/>
      <c r="AE433" s="154"/>
      <c r="AF433" s="154"/>
      <c r="AG433" s="154"/>
      <c r="AH433" s="154"/>
      <c r="AI433" s="155"/>
    </row>
    <row r="434" spans="1:35" s="16" customFormat="1" ht="15.75">
      <c r="A434" s="17"/>
      <c r="B434" s="6"/>
      <c r="C434" s="44"/>
      <c r="P434" s="230"/>
      <c r="Q434" s="154"/>
      <c r="R434" s="154"/>
      <c r="S434" s="154"/>
      <c r="T434" s="154"/>
      <c r="U434" s="154"/>
      <c r="V434" s="154"/>
      <c r="W434" s="154"/>
      <c r="X434" s="154"/>
      <c r="Y434" s="154"/>
      <c r="Z434" s="154"/>
      <c r="AA434" s="154"/>
      <c r="AB434" s="154"/>
      <c r="AC434" s="154"/>
      <c r="AD434" s="154"/>
      <c r="AE434" s="154"/>
      <c r="AF434" s="154"/>
      <c r="AG434" s="154"/>
      <c r="AH434" s="154"/>
      <c r="AI434" s="155"/>
    </row>
    <row r="435" spans="1:35" s="16" customFormat="1" ht="15.75">
      <c r="A435" s="17"/>
      <c r="B435" s="6"/>
      <c r="C435" s="44"/>
      <c r="P435" s="230"/>
      <c r="Q435" s="154"/>
      <c r="R435" s="154"/>
      <c r="S435" s="154"/>
      <c r="T435" s="154"/>
      <c r="U435" s="154"/>
      <c r="V435" s="154"/>
      <c r="W435" s="154"/>
      <c r="X435" s="154"/>
      <c r="Y435" s="154"/>
      <c r="Z435" s="154"/>
      <c r="AA435" s="154"/>
      <c r="AB435" s="154"/>
      <c r="AC435" s="154"/>
      <c r="AD435" s="154"/>
      <c r="AE435" s="154"/>
      <c r="AF435" s="154"/>
      <c r="AG435" s="154"/>
      <c r="AH435" s="154"/>
      <c r="AI435" s="155"/>
    </row>
    <row r="436" spans="1:35" s="16" customFormat="1" ht="15.75">
      <c r="A436" s="17"/>
      <c r="B436" s="6"/>
      <c r="C436" s="44"/>
      <c r="P436" s="230"/>
      <c r="Q436" s="154"/>
      <c r="R436" s="154"/>
      <c r="S436" s="154"/>
      <c r="T436" s="154"/>
      <c r="U436" s="154"/>
      <c r="V436" s="154"/>
      <c r="W436" s="154"/>
      <c r="X436" s="154"/>
      <c r="Y436" s="154"/>
      <c r="Z436" s="154"/>
      <c r="AA436" s="154"/>
      <c r="AB436" s="154"/>
      <c r="AC436" s="154"/>
      <c r="AD436" s="154"/>
      <c r="AE436" s="154"/>
      <c r="AF436" s="154"/>
      <c r="AG436" s="154"/>
      <c r="AH436" s="154"/>
      <c r="AI436" s="155"/>
    </row>
    <row r="437" spans="1:35" s="16" customFormat="1" ht="15.75">
      <c r="A437" s="17"/>
      <c r="B437" s="6"/>
      <c r="C437" s="44"/>
      <c r="P437" s="230"/>
      <c r="Q437" s="154"/>
      <c r="R437" s="154"/>
      <c r="S437" s="154"/>
      <c r="T437" s="154"/>
      <c r="U437" s="154"/>
      <c r="V437" s="154"/>
      <c r="W437" s="154"/>
      <c r="X437" s="154"/>
      <c r="Y437" s="154"/>
      <c r="Z437" s="154"/>
      <c r="AA437" s="154"/>
      <c r="AB437" s="154"/>
      <c r="AC437" s="154"/>
      <c r="AD437" s="154"/>
      <c r="AE437" s="154"/>
      <c r="AF437" s="154"/>
      <c r="AG437" s="154"/>
      <c r="AH437" s="154"/>
      <c r="AI437" s="155"/>
    </row>
    <row r="438" spans="1:35" s="16" customFormat="1" ht="15.75">
      <c r="A438" s="17"/>
      <c r="B438" s="6"/>
      <c r="C438" s="44"/>
      <c r="P438" s="230"/>
      <c r="Q438" s="154"/>
      <c r="R438" s="154"/>
      <c r="S438" s="154"/>
      <c r="T438" s="154"/>
      <c r="U438" s="154"/>
      <c r="V438" s="154"/>
      <c r="W438" s="154"/>
      <c r="X438" s="154"/>
      <c r="Y438" s="154"/>
      <c r="Z438" s="154"/>
      <c r="AA438" s="154"/>
      <c r="AB438" s="154"/>
      <c r="AC438" s="154"/>
      <c r="AD438" s="154"/>
      <c r="AE438" s="154"/>
      <c r="AF438" s="154"/>
      <c r="AG438" s="154"/>
      <c r="AH438" s="154"/>
      <c r="AI438" s="155"/>
    </row>
    <row r="439" spans="1:35" s="16" customFormat="1" ht="15.75">
      <c r="A439" s="17"/>
      <c r="B439" s="6"/>
      <c r="C439" s="44"/>
      <c r="P439" s="230"/>
      <c r="Q439" s="154"/>
      <c r="R439" s="154"/>
      <c r="S439" s="154"/>
      <c r="T439" s="154"/>
      <c r="U439" s="154"/>
      <c r="V439" s="154"/>
      <c r="W439" s="154"/>
      <c r="X439" s="154"/>
      <c r="Y439" s="154"/>
      <c r="Z439" s="154"/>
      <c r="AA439" s="154"/>
      <c r="AB439" s="154"/>
      <c r="AC439" s="154"/>
      <c r="AD439" s="154"/>
      <c r="AE439" s="154"/>
      <c r="AF439" s="154"/>
      <c r="AG439" s="154"/>
      <c r="AH439" s="154"/>
      <c r="AI439" s="155"/>
    </row>
    <row r="440" spans="1:35" s="16" customFormat="1" ht="15.75">
      <c r="A440" s="17"/>
      <c r="B440" s="6"/>
      <c r="C440" s="44"/>
      <c r="P440" s="230"/>
      <c r="Q440" s="154"/>
      <c r="R440" s="154"/>
      <c r="S440" s="154"/>
      <c r="T440" s="154"/>
      <c r="U440" s="154"/>
      <c r="V440" s="154"/>
      <c r="W440" s="154"/>
      <c r="X440" s="154"/>
      <c r="Y440" s="154"/>
      <c r="Z440" s="154"/>
      <c r="AA440" s="154"/>
      <c r="AB440" s="154"/>
      <c r="AC440" s="154"/>
      <c r="AD440" s="154"/>
      <c r="AE440" s="154"/>
      <c r="AF440" s="154"/>
      <c r="AG440" s="154"/>
      <c r="AH440" s="154"/>
      <c r="AI440" s="155"/>
    </row>
    <row r="441" spans="1:35" s="16" customFormat="1" ht="15.75">
      <c r="A441" s="17"/>
      <c r="B441" s="6"/>
      <c r="C441" s="44"/>
      <c r="P441" s="230"/>
      <c r="Q441" s="154"/>
      <c r="R441" s="154"/>
      <c r="S441" s="154"/>
      <c r="T441" s="154"/>
      <c r="U441" s="154"/>
      <c r="V441" s="154"/>
      <c r="W441" s="154"/>
      <c r="X441" s="154"/>
      <c r="Y441" s="154"/>
      <c r="Z441" s="154"/>
      <c r="AA441" s="154"/>
      <c r="AB441" s="154"/>
      <c r="AC441" s="154"/>
      <c r="AD441" s="154"/>
      <c r="AE441" s="154"/>
      <c r="AF441" s="154"/>
      <c r="AG441" s="154"/>
      <c r="AH441" s="154"/>
      <c r="AI441" s="155"/>
    </row>
    <row r="442" spans="1:35" s="16" customFormat="1" ht="15.75">
      <c r="A442" s="17"/>
      <c r="B442" s="6"/>
      <c r="C442" s="44"/>
      <c r="P442" s="230"/>
      <c r="Q442" s="154"/>
      <c r="R442" s="154"/>
      <c r="S442" s="154"/>
      <c r="T442" s="154"/>
      <c r="U442" s="154"/>
      <c r="V442" s="154"/>
      <c r="W442" s="154"/>
      <c r="X442" s="154"/>
      <c r="Y442" s="154"/>
      <c r="Z442" s="154"/>
      <c r="AA442" s="154"/>
      <c r="AB442" s="154"/>
      <c r="AC442" s="154"/>
      <c r="AD442" s="154"/>
      <c r="AE442" s="154"/>
      <c r="AF442" s="154"/>
      <c r="AG442" s="154"/>
      <c r="AH442" s="154"/>
      <c r="AI442" s="155"/>
    </row>
    <row r="443" spans="1:35" s="16" customFormat="1" ht="15.75">
      <c r="A443" s="17"/>
      <c r="B443" s="6"/>
      <c r="C443" s="44"/>
      <c r="P443" s="230"/>
      <c r="Q443" s="154"/>
      <c r="R443" s="154"/>
      <c r="S443" s="154"/>
      <c r="T443" s="154"/>
      <c r="U443" s="154"/>
      <c r="V443" s="154"/>
      <c r="W443" s="154"/>
      <c r="X443" s="154"/>
      <c r="Y443" s="154"/>
      <c r="Z443" s="154"/>
      <c r="AA443" s="154"/>
      <c r="AB443" s="154"/>
      <c r="AC443" s="154"/>
      <c r="AD443" s="154"/>
      <c r="AE443" s="154"/>
      <c r="AF443" s="154"/>
      <c r="AG443" s="154"/>
      <c r="AH443" s="154"/>
      <c r="AI443" s="155"/>
    </row>
    <row r="444" spans="1:35" s="16" customFormat="1" ht="15.75">
      <c r="A444" s="17"/>
      <c r="B444" s="6"/>
      <c r="C444" s="44"/>
      <c r="P444" s="230"/>
      <c r="Q444" s="154"/>
      <c r="R444" s="154"/>
      <c r="S444" s="154"/>
      <c r="T444" s="154"/>
      <c r="U444" s="154"/>
      <c r="V444" s="154"/>
      <c r="W444" s="154"/>
      <c r="X444" s="154"/>
      <c r="Y444" s="154"/>
      <c r="Z444" s="154"/>
      <c r="AA444" s="154"/>
      <c r="AB444" s="154"/>
      <c r="AC444" s="154"/>
      <c r="AD444" s="154"/>
      <c r="AE444" s="154"/>
      <c r="AF444" s="154"/>
      <c r="AG444" s="154"/>
      <c r="AH444" s="154"/>
      <c r="AI444" s="155"/>
    </row>
    <row r="445" spans="1:35" s="16" customFormat="1" ht="15.75">
      <c r="A445" s="17"/>
      <c r="B445" s="6"/>
      <c r="C445" s="44"/>
      <c r="P445" s="230"/>
      <c r="Q445" s="154"/>
      <c r="R445" s="154"/>
      <c r="S445" s="154"/>
      <c r="T445" s="154"/>
      <c r="U445" s="154"/>
      <c r="V445" s="154"/>
      <c r="W445" s="154"/>
      <c r="X445" s="154"/>
      <c r="Y445" s="154"/>
      <c r="Z445" s="154"/>
      <c r="AA445" s="154"/>
      <c r="AB445" s="154"/>
      <c r="AC445" s="154"/>
      <c r="AD445" s="154"/>
      <c r="AE445" s="154"/>
      <c r="AF445" s="154"/>
      <c r="AG445" s="154"/>
      <c r="AH445" s="154"/>
      <c r="AI445" s="155"/>
    </row>
    <row r="446" spans="1:35" s="16" customFormat="1" ht="15.75">
      <c r="A446" s="17"/>
      <c r="B446" s="6"/>
      <c r="C446" s="44"/>
      <c r="P446" s="230"/>
      <c r="Q446" s="154"/>
      <c r="R446" s="154"/>
      <c r="S446" s="154"/>
      <c r="T446" s="154"/>
      <c r="U446" s="154"/>
      <c r="V446" s="154"/>
      <c r="W446" s="154"/>
      <c r="X446" s="154"/>
      <c r="Y446" s="154"/>
      <c r="Z446" s="154"/>
      <c r="AA446" s="154"/>
      <c r="AB446" s="154"/>
      <c r="AC446" s="154"/>
      <c r="AD446" s="154"/>
      <c r="AE446" s="154"/>
      <c r="AF446" s="154"/>
      <c r="AG446" s="154"/>
      <c r="AH446" s="154"/>
      <c r="AI446" s="155"/>
    </row>
    <row r="447" spans="1:35" s="16" customFormat="1" ht="15.75">
      <c r="A447" s="17"/>
      <c r="B447" s="6"/>
      <c r="C447" s="44"/>
      <c r="P447" s="230"/>
      <c r="Q447" s="154"/>
      <c r="R447" s="154"/>
      <c r="S447" s="154"/>
      <c r="T447" s="154"/>
      <c r="U447" s="154"/>
      <c r="V447" s="154"/>
      <c r="W447" s="154"/>
      <c r="X447" s="154"/>
      <c r="Y447" s="154"/>
      <c r="Z447" s="154"/>
      <c r="AA447" s="154"/>
      <c r="AB447" s="154"/>
      <c r="AC447" s="154"/>
      <c r="AD447" s="154"/>
      <c r="AE447" s="154"/>
      <c r="AF447" s="154"/>
      <c r="AG447" s="154"/>
      <c r="AH447" s="154"/>
      <c r="AI447" s="155"/>
    </row>
    <row r="448" spans="1:35" s="16" customFormat="1" ht="15.75">
      <c r="A448" s="17"/>
      <c r="B448" s="6"/>
      <c r="C448" s="44"/>
      <c r="P448" s="230"/>
      <c r="Q448" s="154"/>
      <c r="R448" s="154"/>
      <c r="S448" s="154"/>
      <c r="T448" s="154"/>
      <c r="U448" s="154"/>
      <c r="V448" s="154"/>
      <c r="W448" s="154"/>
      <c r="X448" s="154"/>
      <c r="Y448" s="154"/>
      <c r="Z448" s="154"/>
      <c r="AA448" s="154"/>
      <c r="AB448" s="154"/>
      <c r="AC448" s="154"/>
      <c r="AD448" s="154"/>
      <c r="AE448" s="154"/>
      <c r="AF448" s="154"/>
      <c r="AG448" s="154"/>
      <c r="AH448" s="154"/>
      <c r="AI448" s="155"/>
    </row>
    <row r="449" spans="1:35" s="16" customFormat="1" ht="15.75">
      <c r="A449" s="17"/>
      <c r="B449" s="6"/>
      <c r="C449" s="44"/>
      <c r="P449" s="230"/>
      <c r="Q449" s="154"/>
      <c r="R449" s="154"/>
      <c r="S449" s="154"/>
      <c r="T449" s="154"/>
      <c r="U449" s="154"/>
      <c r="V449" s="154"/>
      <c r="W449" s="154"/>
      <c r="X449" s="154"/>
      <c r="Y449" s="154"/>
      <c r="Z449" s="154"/>
      <c r="AA449" s="154"/>
      <c r="AB449" s="154"/>
      <c r="AC449" s="154"/>
      <c r="AD449" s="154"/>
      <c r="AE449" s="154"/>
      <c r="AF449" s="154"/>
      <c r="AG449" s="154"/>
      <c r="AH449" s="154"/>
      <c r="AI449" s="155"/>
    </row>
    <row r="450" spans="1:35" s="16" customFormat="1" ht="15.75">
      <c r="A450" s="17"/>
      <c r="B450" s="6"/>
      <c r="C450" s="44"/>
      <c r="P450" s="230"/>
      <c r="Q450" s="154"/>
      <c r="R450" s="154"/>
      <c r="S450" s="154"/>
      <c r="T450" s="154"/>
      <c r="U450" s="154"/>
      <c r="V450" s="154"/>
      <c r="W450" s="154"/>
      <c r="X450" s="154"/>
      <c r="Y450" s="154"/>
      <c r="Z450" s="154"/>
      <c r="AA450" s="154"/>
      <c r="AB450" s="154"/>
      <c r="AC450" s="154"/>
      <c r="AD450" s="154"/>
      <c r="AE450" s="154"/>
      <c r="AF450" s="154"/>
      <c r="AG450" s="154"/>
      <c r="AH450" s="154"/>
      <c r="AI450" s="155"/>
    </row>
    <row r="451" spans="1:35" s="16" customFormat="1" ht="15.75">
      <c r="A451" s="17"/>
      <c r="B451" s="6"/>
      <c r="C451" s="44"/>
      <c r="P451" s="230"/>
      <c r="Q451" s="154"/>
      <c r="R451" s="154"/>
      <c r="S451" s="154"/>
      <c r="T451" s="154"/>
      <c r="U451" s="154"/>
      <c r="V451" s="154"/>
      <c r="W451" s="154"/>
      <c r="X451" s="154"/>
      <c r="Y451" s="154"/>
      <c r="Z451" s="154"/>
      <c r="AA451" s="154"/>
      <c r="AB451" s="154"/>
      <c r="AC451" s="154"/>
      <c r="AD451" s="154"/>
      <c r="AE451" s="154"/>
      <c r="AF451" s="154"/>
      <c r="AG451" s="154"/>
      <c r="AH451" s="154"/>
      <c r="AI451" s="155"/>
    </row>
    <row r="452" spans="1:35" s="16" customFormat="1" ht="15.75">
      <c r="A452" s="17"/>
      <c r="B452" s="6"/>
      <c r="C452" s="44"/>
      <c r="P452" s="230"/>
      <c r="Q452" s="154"/>
      <c r="R452" s="154"/>
      <c r="S452" s="154"/>
      <c r="T452" s="154"/>
      <c r="U452" s="154"/>
      <c r="V452" s="154"/>
      <c r="W452" s="154"/>
      <c r="X452" s="154"/>
      <c r="Y452" s="154"/>
      <c r="Z452" s="154"/>
      <c r="AA452" s="154"/>
      <c r="AB452" s="154"/>
      <c r="AC452" s="154"/>
      <c r="AD452" s="154"/>
      <c r="AE452" s="154"/>
      <c r="AF452" s="154"/>
      <c r="AG452" s="154"/>
      <c r="AH452" s="154"/>
      <c r="AI452" s="155"/>
    </row>
    <row r="453" spans="1:35" s="16" customFormat="1" ht="15.75">
      <c r="A453" s="17"/>
      <c r="B453" s="6"/>
      <c r="C453" s="44"/>
      <c r="P453" s="230"/>
      <c r="Q453" s="154"/>
      <c r="R453" s="154"/>
      <c r="S453" s="154"/>
      <c r="T453" s="154"/>
      <c r="U453" s="154"/>
      <c r="V453" s="154"/>
      <c r="W453" s="154"/>
      <c r="X453" s="154"/>
      <c r="Y453" s="154"/>
      <c r="Z453" s="154"/>
      <c r="AA453" s="154"/>
      <c r="AB453" s="154"/>
      <c r="AC453" s="154"/>
      <c r="AD453" s="154"/>
      <c r="AE453" s="154"/>
      <c r="AF453" s="154"/>
      <c r="AG453" s="154"/>
      <c r="AH453" s="154"/>
      <c r="AI453" s="155"/>
    </row>
    <row r="454" spans="1:35" s="16" customFormat="1" ht="15.75">
      <c r="A454" s="17"/>
      <c r="B454" s="6"/>
      <c r="C454" s="44"/>
      <c r="P454" s="230"/>
      <c r="Q454" s="154"/>
      <c r="R454" s="154"/>
      <c r="S454" s="154"/>
      <c r="T454" s="154"/>
      <c r="U454" s="154"/>
      <c r="V454" s="154"/>
      <c r="W454" s="154"/>
      <c r="X454" s="154"/>
      <c r="Y454" s="154"/>
      <c r="Z454" s="154"/>
      <c r="AA454" s="154"/>
      <c r="AB454" s="154"/>
      <c r="AC454" s="154"/>
      <c r="AD454" s="154"/>
      <c r="AE454" s="154"/>
      <c r="AF454" s="154"/>
      <c r="AG454" s="154"/>
      <c r="AH454" s="154"/>
      <c r="AI454" s="155"/>
    </row>
    <row r="455" spans="1:35" s="16" customFormat="1" ht="15.75">
      <c r="A455" s="17"/>
      <c r="B455" s="6"/>
      <c r="C455" s="44"/>
      <c r="P455" s="230"/>
      <c r="Q455" s="154"/>
      <c r="R455" s="154"/>
      <c r="S455" s="154"/>
      <c r="T455" s="154"/>
      <c r="U455" s="154"/>
      <c r="V455" s="154"/>
      <c r="W455" s="154"/>
      <c r="X455" s="154"/>
      <c r="Y455" s="154"/>
      <c r="Z455" s="154"/>
      <c r="AA455" s="154"/>
      <c r="AB455" s="154"/>
      <c r="AC455" s="154"/>
      <c r="AD455" s="154"/>
      <c r="AE455" s="154"/>
      <c r="AF455" s="154"/>
      <c r="AG455" s="154"/>
      <c r="AH455" s="154"/>
      <c r="AI455" s="155"/>
    </row>
    <row r="456" spans="1:35" s="16" customFormat="1" ht="15.75">
      <c r="A456" s="17"/>
      <c r="B456" s="6"/>
      <c r="C456" s="44"/>
      <c r="P456" s="230"/>
      <c r="Q456" s="154"/>
      <c r="R456" s="154"/>
      <c r="S456" s="154"/>
      <c r="T456" s="154"/>
      <c r="U456" s="154"/>
      <c r="V456" s="154"/>
      <c r="W456" s="154"/>
      <c r="X456" s="154"/>
      <c r="Y456" s="154"/>
      <c r="Z456" s="154"/>
      <c r="AA456" s="154"/>
      <c r="AB456" s="154"/>
      <c r="AC456" s="154"/>
      <c r="AD456" s="154"/>
      <c r="AE456" s="154"/>
      <c r="AF456" s="154"/>
      <c r="AG456" s="154"/>
      <c r="AH456" s="154"/>
      <c r="AI456" s="155"/>
    </row>
    <row r="457" spans="1:35" s="16" customFormat="1" ht="15.75">
      <c r="A457" s="17"/>
      <c r="B457" s="6"/>
      <c r="C457" s="44"/>
      <c r="P457" s="230"/>
      <c r="Q457" s="154"/>
      <c r="R457" s="154"/>
      <c r="S457" s="154"/>
      <c r="T457" s="154"/>
      <c r="U457" s="154"/>
      <c r="V457" s="154"/>
      <c r="W457" s="154"/>
      <c r="X457" s="154"/>
      <c r="Y457" s="154"/>
      <c r="Z457" s="154"/>
      <c r="AA457" s="154"/>
      <c r="AB457" s="154"/>
      <c r="AC457" s="154"/>
      <c r="AD457" s="154"/>
      <c r="AE457" s="154"/>
      <c r="AF457" s="154"/>
      <c r="AG457" s="154"/>
      <c r="AH457" s="154"/>
      <c r="AI457" s="155"/>
    </row>
    <row r="458" spans="1:35" s="16" customFormat="1" ht="15.75">
      <c r="A458" s="17"/>
      <c r="B458" s="6"/>
      <c r="C458" s="44"/>
      <c r="P458" s="230"/>
      <c r="Q458" s="154"/>
      <c r="R458" s="154"/>
      <c r="S458" s="154"/>
      <c r="T458" s="154"/>
      <c r="U458" s="154"/>
      <c r="V458" s="154"/>
      <c r="W458" s="154"/>
      <c r="X458" s="154"/>
      <c r="Y458" s="154"/>
      <c r="Z458" s="154"/>
      <c r="AA458" s="154"/>
      <c r="AB458" s="154"/>
      <c r="AC458" s="154"/>
      <c r="AD458" s="154"/>
      <c r="AE458" s="154"/>
      <c r="AF458" s="154"/>
      <c r="AG458" s="154"/>
      <c r="AH458" s="154"/>
      <c r="AI458" s="155"/>
    </row>
    <row r="459" spans="1:35" s="16" customFormat="1" ht="15.75">
      <c r="A459" s="17"/>
      <c r="B459" s="6"/>
      <c r="C459" s="44"/>
      <c r="P459" s="230"/>
      <c r="Q459" s="154"/>
      <c r="R459" s="154"/>
      <c r="S459" s="154"/>
      <c r="T459" s="154"/>
      <c r="U459" s="154"/>
      <c r="V459" s="154"/>
      <c r="W459" s="154"/>
      <c r="X459" s="154"/>
      <c r="Y459" s="154"/>
      <c r="Z459" s="154"/>
      <c r="AA459" s="154"/>
      <c r="AB459" s="154"/>
      <c r="AC459" s="154"/>
      <c r="AD459" s="154"/>
      <c r="AE459" s="154"/>
      <c r="AF459" s="154"/>
      <c r="AG459" s="154"/>
      <c r="AH459" s="154"/>
      <c r="AI459" s="155"/>
    </row>
    <row r="460" spans="1:35" s="16" customFormat="1" ht="15.75">
      <c r="A460" s="17"/>
      <c r="B460" s="6"/>
      <c r="C460" s="44"/>
      <c r="P460" s="230"/>
      <c r="Q460" s="154"/>
      <c r="R460" s="154"/>
      <c r="S460" s="154"/>
      <c r="T460" s="154"/>
      <c r="U460" s="154"/>
      <c r="V460" s="154"/>
      <c r="W460" s="154"/>
      <c r="X460" s="154"/>
      <c r="Y460" s="154"/>
      <c r="Z460" s="154"/>
      <c r="AA460" s="154"/>
      <c r="AB460" s="154"/>
      <c r="AC460" s="154"/>
      <c r="AD460" s="154"/>
      <c r="AE460" s="154"/>
      <c r="AF460" s="154"/>
      <c r="AG460" s="154"/>
      <c r="AH460" s="154"/>
      <c r="AI460" s="155"/>
    </row>
    <row r="461" spans="1:35" s="16" customFormat="1" ht="15.75">
      <c r="A461" s="17"/>
      <c r="B461" s="6"/>
      <c r="C461" s="44"/>
      <c r="P461" s="230"/>
      <c r="Q461" s="154"/>
      <c r="R461" s="154"/>
      <c r="S461" s="154"/>
      <c r="T461" s="154"/>
      <c r="U461" s="154"/>
      <c r="V461" s="154"/>
      <c r="W461" s="154"/>
      <c r="X461" s="154"/>
      <c r="Y461" s="154"/>
      <c r="Z461" s="154"/>
      <c r="AA461" s="154"/>
      <c r="AB461" s="154"/>
      <c r="AC461" s="154"/>
      <c r="AD461" s="154"/>
      <c r="AE461" s="154"/>
      <c r="AF461" s="154"/>
      <c r="AG461" s="154"/>
      <c r="AH461" s="154"/>
      <c r="AI461" s="155"/>
    </row>
    <row r="462" spans="1:35" s="16" customFormat="1" ht="15.75">
      <c r="A462" s="17"/>
      <c r="B462" s="6"/>
      <c r="C462" s="44"/>
      <c r="P462" s="230"/>
      <c r="Q462" s="154"/>
      <c r="R462" s="154"/>
      <c r="S462" s="154"/>
      <c r="T462" s="154"/>
      <c r="U462" s="154"/>
      <c r="V462" s="154"/>
      <c r="W462" s="154"/>
      <c r="X462" s="154"/>
      <c r="Y462" s="154"/>
      <c r="Z462" s="154"/>
      <c r="AA462" s="154"/>
      <c r="AB462" s="154"/>
      <c r="AC462" s="154"/>
      <c r="AD462" s="154"/>
      <c r="AE462" s="154"/>
      <c r="AF462" s="154"/>
      <c r="AG462" s="154"/>
      <c r="AH462" s="154"/>
      <c r="AI462" s="155"/>
    </row>
    <row r="463" spans="1:35" s="16" customFormat="1" ht="15.75">
      <c r="A463" s="17"/>
      <c r="B463" s="6"/>
      <c r="C463" s="44"/>
      <c r="P463" s="230"/>
      <c r="Q463" s="154"/>
      <c r="R463" s="154"/>
      <c r="S463" s="154"/>
      <c r="T463" s="154"/>
      <c r="U463" s="154"/>
      <c r="V463" s="154"/>
      <c r="W463" s="154"/>
      <c r="X463" s="154"/>
      <c r="Y463" s="154"/>
      <c r="Z463" s="154"/>
      <c r="AA463" s="154"/>
      <c r="AB463" s="154"/>
      <c r="AC463" s="154"/>
      <c r="AD463" s="154"/>
      <c r="AE463" s="154"/>
      <c r="AF463" s="154"/>
      <c r="AG463" s="154"/>
      <c r="AH463" s="154"/>
      <c r="AI463" s="155"/>
    </row>
    <row r="464" spans="1:35" s="16" customFormat="1" ht="15.75">
      <c r="A464" s="17"/>
      <c r="B464" s="6"/>
      <c r="C464" s="44"/>
      <c r="P464" s="230"/>
      <c r="Q464" s="154"/>
      <c r="R464" s="154"/>
      <c r="S464" s="154"/>
      <c r="T464" s="154"/>
      <c r="U464" s="154"/>
      <c r="V464" s="154"/>
      <c r="W464" s="154"/>
      <c r="X464" s="154"/>
      <c r="Y464" s="154"/>
      <c r="Z464" s="154"/>
      <c r="AA464" s="154"/>
      <c r="AB464" s="154"/>
      <c r="AC464" s="154"/>
      <c r="AD464" s="154"/>
      <c r="AE464" s="154"/>
      <c r="AF464" s="154"/>
      <c r="AG464" s="154"/>
      <c r="AH464" s="154"/>
      <c r="AI464" s="155"/>
    </row>
    <row r="465" spans="1:35" s="16" customFormat="1" ht="15.75">
      <c r="A465" s="17"/>
      <c r="B465" s="6"/>
      <c r="C465" s="44"/>
      <c r="P465" s="230"/>
      <c r="Q465" s="154"/>
      <c r="R465" s="154"/>
      <c r="S465" s="154"/>
      <c r="T465" s="154"/>
      <c r="U465" s="154"/>
      <c r="V465" s="154"/>
      <c r="W465" s="154"/>
      <c r="X465" s="154"/>
      <c r="Y465" s="154"/>
      <c r="Z465" s="154"/>
      <c r="AA465" s="154"/>
      <c r="AB465" s="154"/>
      <c r="AC465" s="154"/>
      <c r="AD465" s="154"/>
      <c r="AE465" s="154"/>
      <c r="AF465" s="154"/>
      <c r="AG465" s="154"/>
      <c r="AH465" s="154"/>
      <c r="AI465" s="155"/>
    </row>
    <row r="466" spans="1:35" s="16" customFormat="1" ht="15.75">
      <c r="A466" s="17"/>
      <c r="B466" s="6"/>
      <c r="C466" s="44"/>
      <c r="P466" s="230"/>
      <c r="Q466" s="154"/>
      <c r="R466" s="154"/>
      <c r="S466" s="154"/>
      <c r="T466" s="154"/>
      <c r="U466" s="154"/>
      <c r="V466" s="154"/>
      <c r="W466" s="154"/>
      <c r="X466" s="154"/>
      <c r="Y466" s="154"/>
      <c r="Z466" s="154"/>
      <c r="AA466" s="154"/>
      <c r="AB466" s="154"/>
      <c r="AC466" s="154"/>
      <c r="AD466" s="154"/>
      <c r="AE466" s="154"/>
      <c r="AF466" s="154"/>
      <c r="AG466" s="154"/>
      <c r="AH466" s="154"/>
      <c r="AI466" s="155"/>
    </row>
    <row r="467" spans="1:35" s="16" customFormat="1" ht="15.75">
      <c r="A467" s="17"/>
      <c r="B467" s="6"/>
      <c r="C467" s="44"/>
      <c r="P467" s="230"/>
      <c r="Q467" s="154"/>
      <c r="R467" s="154"/>
      <c r="S467" s="154"/>
      <c r="T467" s="154"/>
      <c r="U467" s="154"/>
      <c r="V467" s="154"/>
      <c r="W467" s="154"/>
      <c r="X467" s="154"/>
      <c r="Y467" s="154"/>
      <c r="Z467" s="154"/>
      <c r="AA467" s="154"/>
      <c r="AB467" s="154"/>
      <c r="AC467" s="154"/>
      <c r="AD467" s="154"/>
      <c r="AE467" s="154"/>
      <c r="AF467" s="154"/>
      <c r="AG467" s="154"/>
      <c r="AH467" s="154"/>
      <c r="AI467" s="155"/>
    </row>
    <row r="468" spans="1:35" s="16" customFormat="1" ht="15.75">
      <c r="A468" s="17"/>
      <c r="B468" s="6"/>
      <c r="C468" s="44"/>
      <c r="P468" s="230"/>
      <c r="Q468" s="154"/>
      <c r="R468" s="154"/>
      <c r="S468" s="154"/>
      <c r="T468" s="154"/>
      <c r="U468" s="154"/>
      <c r="V468" s="154"/>
      <c r="W468" s="154"/>
      <c r="X468" s="154"/>
      <c r="Y468" s="154"/>
      <c r="Z468" s="154"/>
      <c r="AA468" s="154"/>
      <c r="AB468" s="154"/>
      <c r="AC468" s="154"/>
      <c r="AD468" s="154"/>
      <c r="AE468" s="154"/>
      <c r="AF468" s="154"/>
      <c r="AG468" s="154"/>
      <c r="AH468" s="154"/>
      <c r="AI468" s="155"/>
    </row>
    <row r="469" spans="1:35" s="16" customFormat="1" ht="15.75">
      <c r="A469" s="17"/>
      <c r="B469" s="6"/>
      <c r="C469" s="44"/>
      <c r="P469" s="230"/>
      <c r="Q469" s="154"/>
      <c r="R469" s="154"/>
      <c r="S469" s="154"/>
      <c r="T469" s="154"/>
      <c r="U469" s="154"/>
      <c r="V469" s="154"/>
      <c r="W469" s="154"/>
      <c r="X469" s="154"/>
      <c r="Y469" s="154"/>
      <c r="Z469" s="154"/>
      <c r="AA469" s="154"/>
      <c r="AB469" s="154"/>
      <c r="AC469" s="154"/>
      <c r="AD469" s="154"/>
      <c r="AE469" s="154"/>
      <c r="AF469" s="154"/>
      <c r="AG469" s="154"/>
      <c r="AH469" s="154"/>
      <c r="AI469" s="155"/>
    </row>
    <row r="470" spans="1:35" s="16" customFormat="1" ht="15.75">
      <c r="A470" s="17"/>
      <c r="B470" s="6"/>
      <c r="C470" s="44"/>
      <c r="P470" s="230"/>
      <c r="Q470" s="154"/>
      <c r="R470" s="154"/>
      <c r="S470" s="154"/>
      <c r="T470" s="154"/>
      <c r="U470" s="154"/>
      <c r="V470" s="154"/>
      <c r="W470" s="154"/>
      <c r="X470" s="154"/>
      <c r="Y470" s="154"/>
      <c r="Z470" s="154"/>
      <c r="AA470" s="154"/>
      <c r="AB470" s="154"/>
      <c r="AC470" s="154"/>
      <c r="AD470" s="154"/>
      <c r="AE470" s="154"/>
      <c r="AF470" s="154"/>
      <c r="AG470" s="154"/>
      <c r="AH470" s="154"/>
      <c r="AI470" s="155"/>
    </row>
    <row r="471" spans="1:35" s="16" customFormat="1" ht="15.75">
      <c r="A471" s="17"/>
      <c r="B471" s="6"/>
      <c r="C471" s="44"/>
      <c r="P471" s="230"/>
      <c r="Q471" s="154"/>
      <c r="R471" s="154"/>
      <c r="S471" s="154"/>
      <c r="T471" s="154"/>
      <c r="U471" s="154"/>
      <c r="V471" s="154"/>
      <c r="W471" s="154"/>
      <c r="X471" s="154"/>
      <c r="Y471" s="154"/>
      <c r="Z471" s="154"/>
      <c r="AA471" s="154"/>
      <c r="AB471" s="154"/>
      <c r="AC471" s="154"/>
      <c r="AD471" s="154"/>
      <c r="AE471" s="154"/>
      <c r="AF471" s="154"/>
      <c r="AG471" s="154"/>
      <c r="AH471" s="154"/>
      <c r="AI471" s="155"/>
    </row>
    <row r="472" spans="1:35" s="16" customFormat="1" ht="15.75">
      <c r="A472" s="17"/>
      <c r="B472" s="6"/>
      <c r="C472" s="44"/>
      <c r="P472" s="230"/>
      <c r="Q472" s="154"/>
      <c r="R472" s="154"/>
      <c r="S472" s="154"/>
      <c r="T472" s="154"/>
      <c r="U472" s="154"/>
      <c r="V472" s="154"/>
      <c r="W472" s="154"/>
      <c r="X472" s="154"/>
      <c r="Y472" s="154"/>
      <c r="Z472" s="154"/>
      <c r="AA472" s="154"/>
      <c r="AB472" s="154"/>
      <c r="AC472" s="154"/>
      <c r="AD472" s="154"/>
      <c r="AE472" s="154"/>
      <c r="AF472" s="154"/>
      <c r="AG472" s="154"/>
      <c r="AH472" s="154"/>
      <c r="AI472" s="155"/>
    </row>
    <row r="473" spans="1:35" s="16" customFormat="1" ht="15.75">
      <c r="A473" s="17"/>
      <c r="B473" s="6"/>
      <c r="C473" s="44"/>
      <c r="P473" s="230"/>
      <c r="Q473" s="154"/>
      <c r="R473" s="154"/>
      <c r="S473" s="154"/>
      <c r="T473" s="154"/>
      <c r="U473" s="154"/>
      <c r="V473" s="154"/>
      <c r="W473" s="154"/>
      <c r="X473" s="154"/>
      <c r="Y473" s="154"/>
      <c r="Z473" s="154"/>
      <c r="AA473" s="154"/>
      <c r="AB473" s="154"/>
      <c r="AC473" s="154"/>
      <c r="AD473" s="154"/>
      <c r="AE473" s="154"/>
      <c r="AF473" s="154"/>
      <c r="AG473" s="154"/>
      <c r="AH473" s="154"/>
      <c r="AI473" s="155"/>
    </row>
    <row r="474" spans="1:35" s="16" customFormat="1" ht="15.75">
      <c r="A474" s="17"/>
      <c r="B474" s="6"/>
      <c r="C474" s="44"/>
      <c r="P474" s="230"/>
      <c r="Q474" s="154"/>
      <c r="R474" s="154"/>
      <c r="S474" s="154"/>
      <c r="T474" s="154"/>
      <c r="U474" s="154"/>
      <c r="V474" s="154"/>
      <c r="W474" s="154"/>
      <c r="X474" s="154"/>
      <c r="Y474" s="154"/>
      <c r="Z474" s="154"/>
      <c r="AA474" s="154"/>
      <c r="AB474" s="154"/>
      <c r="AC474" s="154"/>
      <c r="AD474" s="154"/>
      <c r="AE474" s="154"/>
      <c r="AF474" s="154"/>
      <c r="AG474" s="154"/>
      <c r="AH474" s="154"/>
      <c r="AI474" s="155"/>
    </row>
    <row r="475" spans="1:35" s="16" customFormat="1" ht="15.75">
      <c r="A475" s="17"/>
      <c r="B475" s="6"/>
      <c r="C475" s="44"/>
      <c r="P475" s="230"/>
      <c r="Q475" s="154"/>
      <c r="R475" s="154"/>
      <c r="S475" s="154"/>
      <c r="T475" s="154"/>
      <c r="U475" s="154"/>
      <c r="V475" s="154"/>
      <c r="W475" s="154"/>
      <c r="X475" s="154"/>
      <c r="Y475" s="154"/>
      <c r="Z475" s="154"/>
      <c r="AA475" s="154"/>
      <c r="AB475" s="154"/>
      <c r="AC475" s="154"/>
      <c r="AD475" s="154"/>
      <c r="AE475" s="154"/>
      <c r="AF475" s="154"/>
      <c r="AG475" s="154"/>
      <c r="AH475" s="154"/>
      <c r="AI475" s="155"/>
    </row>
    <row r="476" spans="1:35" s="16" customFormat="1" ht="15.75">
      <c r="A476" s="17"/>
      <c r="B476" s="6"/>
      <c r="C476" s="44"/>
      <c r="P476" s="230"/>
      <c r="Q476" s="154"/>
      <c r="R476" s="154"/>
      <c r="S476" s="154"/>
      <c r="T476" s="154"/>
      <c r="U476" s="154"/>
      <c r="V476" s="154"/>
      <c r="W476" s="154"/>
      <c r="X476" s="154"/>
      <c r="Y476" s="154"/>
      <c r="Z476" s="154"/>
      <c r="AA476" s="154"/>
      <c r="AB476" s="154"/>
      <c r="AC476" s="154"/>
      <c r="AD476" s="154"/>
      <c r="AE476" s="154"/>
      <c r="AF476" s="154"/>
      <c r="AG476" s="154"/>
      <c r="AH476" s="154"/>
      <c r="AI476" s="155"/>
    </row>
    <row r="477" spans="1:35" s="16" customFormat="1" ht="15.75">
      <c r="A477" s="17"/>
      <c r="B477" s="6"/>
      <c r="C477" s="44"/>
      <c r="P477" s="230"/>
      <c r="Q477" s="154"/>
      <c r="R477" s="154"/>
      <c r="S477" s="154"/>
      <c r="T477" s="154"/>
      <c r="U477" s="154"/>
      <c r="V477" s="154"/>
      <c r="W477" s="154"/>
      <c r="X477" s="154"/>
      <c r="Y477" s="154"/>
      <c r="Z477" s="154"/>
      <c r="AA477" s="154"/>
      <c r="AB477" s="154"/>
      <c r="AC477" s="154"/>
      <c r="AD477" s="154"/>
      <c r="AE477" s="154"/>
      <c r="AF477" s="154"/>
      <c r="AG477" s="154"/>
      <c r="AH477" s="154"/>
      <c r="AI477" s="155"/>
    </row>
    <row r="478" spans="1:35" s="16" customFormat="1" ht="15.75">
      <c r="A478" s="17"/>
      <c r="B478" s="6"/>
      <c r="C478" s="44"/>
      <c r="P478" s="230"/>
      <c r="Q478" s="154"/>
      <c r="R478" s="154"/>
      <c r="S478" s="154"/>
      <c r="T478" s="154"/>
      <c r="U478" s="154"/>
      <c r="V478" s="154"/>
      <c r="W478" s="154"/>
      <c r="X478" s="154"/>
      <c r="Y478" s="154"/>
      <c r="Z478" s="154"/>
      <c r="AA478" s="154"/>
      <c r="AB478" s="154"/>
      <c r="AC478" s="154"/>
      <c r="AD478" s="154"/>
      <c r="AE478" s="154"/>
      <c r="AF478" s="154"/>
      <c r="AG478" s="154"/>
      <c r="AH478" s="154"/>
      <c r="AI478" s="155"/>
    </row>
    <row r="479" spans="1:35" s="16" customFormat="1" ht="15.75">
      <c r="A479" s="17"/>
      <c r="B479" s="6"/>
      <c r="C479" s="44"/>
      <c r="P479" s="230"/>
      <c r="Q479" s="154"/>
      <c r="R479" s="154"/>
      <c r="S479" s="154"/>
      <c r="T479" s="154"/>
      <c r="U479" s="154"/>
      <c r="V479" s="154"/>
      <c r="W479" s="154"/>
      <c r="X479" s="154"/>
      <c r="Y479" s="154"/>
      <c r="Z479" s="154"/>
      <c r="AA479" s="154"/>
      <c r="AB479" s="154"/>
      <c r="AC479" s="154"/>
      <c r="AD479" s="154"/>
      <c r="AE479" s="154"/>
      <c r="AF479" s="154"/>
      <c r="AG479" s="154"/>
      <c r="AH479" s="154"/>
      <c r="AI479" s="155"/>
    </row>
    <row r="480" spans="1:35" s="16" customFormat="1" ht="15.75">
      <c r="A480" s="17"/>
      <c r="B480" s="6"/>
      <c r="C480" s="44"/>
      <c r="P480" s="230"/>
      <c r="Q480" s="154"/>
      <c r="R480" s="154"/>
      <c r="S480" s="154"/>
      <c r="T480" s="154"/>
      <c r="U480" s="154"/>
      <c r="V480" s="154"/>
      <c r="W480" s="154"/>
      <c r="X480" s="154"/>
      <c r="Y480" s="154"/>
      <c r="Z480" s="154"/>
      <c r="AA480" s="154"/>
      <c r="AB480" s="154"/>
      <c r="AC480" s="154"/>
      <c r="AD480" s="154"/>
      <c r="AE480" s="154"/>
      <c r="AF480" s="154"/>
      <c r="AG480" s="154"/>
      <c r="AH480" s="154"/>
      <c r="AI480" s="155"/>
    </row>
    <row r="481" spans="1:35" s="16" customFormat="1" ht="15.75">
      <c r="A481" s="17"/>
      <c r="B481" s="6"/>
      <c r="C481" s="44"/>
      <c r="P481" s="230"/>
      <c r="Q481" s="154"/>
      <c r="R481" s="154"/>
      <c r="S481" s="154"/>
      <c r="T481" s="154"/>
      <c r="U481" s="154"/>
      <c r="V481" s="154"/>
      <c r="W481" s="154"/>
      <c r="X481" s="154"/>
      <c r="Y481" s="154"/>
      <c r="Z481" s="154"/>
      <c r="AA481" s="154"/>
      <c r="AB481" s="154"/>
      <c r="AC481" s="154"/>
      <c r="AD481" s="154"/>
      <c r="AE481" s="154"/>
      <c r="AF481" s="154"/>
      <c r="AG481" s="154"/>
      <c r="AH481" s="154"/>
      <c r="AI481" s="155"/>
    </row>
    <row r="482" spans="1:35" s="16" customFormat="1" ht="15.75">
      <c r="A482" s="17"/>
      <c r="B482" s="6"/>
      <c r="C482" s="44"/>
      <c r="P482" s="230"/>
      <c r="Q482" s="154"/>
      <c r="R482" s="154"/>
      <c r="S482" s="154"/>
      <c r="T482" s="154"/>
      <c r="U482" s="154"/>
      <c r="V482" s="154"/>
      <c r="W482" s="154"/>
      <c r="X482" s="154"/>
      <c r="Y482" s="154"/>
      <c r="Z482" s="154"/>
      <c r="AA482" s="154"/>
      <c r="AB482" s="154"/>
      <c r="AC482" s="154"/>
      <c r="AD482" s="154"/>
      <c r="AE482" s="154"/>
      <c r="AF482" s="154"/>
      <c r="AG482" s="154"/>
      <c r="AH482" s="154"/>
      <c r="AI482" s="155"/>
    </row>
    <row r="483" spans="1:35" s="16" customFormat="1" ht="15.75">
      <c r="A483" s="17"/>
      <c r="B483" s="6"/>
      <c r="C483" s="44"/>
      <c r="P483" s="230"/>
      <c r="Q483" s="154"/>
      <c r="R483" s="154"/>
      <c r="S483" s="154"/>
      <c r="T483" s="154"/>
      <c r="U483" s="154"/>
      <c r="V483" s="154"/>
      <c r="W483" s="154"/>
      <c r="X483" s="154"/>
      <c r="Y483" s="154"/>
      <c r="Z483" s="154"/>
      <c r="AA483" s="154"/>
      <c r="AB483" s="154"/>
      <c r="AC483" s="154"/>
      <c r="AD483" s="154"/>
      <c r="AE483" s="154"/>
      <c r="AF483" s="154"/>
      <c r="AG483" s="154"/>
      <c r="AH483" s="154"/>
      <c r="AI483" s="155"/>
    </row>
    <row r="484" spans="1:35" s="16" customFormat="1" ht="15.75">
      <c r="A484" s="17"/>
      <c r="B484" s="6"/>
      <c r="C484" s="44"/>
      <c r="P484" s="230"/>
      <c r="Q484" s="154"/>
      <c r="R484" s="154"/>
      <c r="S484" s="154"/>
      <c r="T484" s="154"/>
      <c r="U484" s="154"/>
      <c r="V484" s="154"/>
      <c r="W484" s="154"/>
      <c r="X484" s="154"/>
      <c r="Y484" s="154"/>
      <c r="Z484" s="154"/>
      <c r="AA484" s="154"/>
      <c r="AB484" s="154"/>
      <c r="AC484" s="154"/>
      <c r="AD484" s="154"/>
      <c r="AE484" s="154"/>
      <c r="AF484" s="154"/>
      <c r="AG484" s="154"/>
      <c r="AH484" s="154"/>
      <c r="AI484" s="155"/>
    </row>
    <row r="485" spans="1:35" s="16" customFormat="1" ht="15.75">
      <c r="A485" s="17"/>
      <c r="B485" s="6"/>
      <c r="C485" s="44"/>
      <c r="P485" s="230"/>
      <c r="Q485" s="154"/>
      <c r="R485" s="154"/>
      <c r="S485" s="154"/>
      <c r="T485" s="154"/>
      <c r="U485" s="154"/>
      <c r="V485" s="154"/>
      <c r="W485" s="154"/>
      <c r="X485" s="154"/>
      <c r="Y485" s="154"/>
      <c r="Z485" s="154"/>
      <c r="AA485" s="154"/>
      <c r="AB485" s="154"/>
      <c r="AC485" s="154"/>
      <c r="AD485" s="154"/>
      <c r="AE485" s="154"/>
      <c r="AF485" s="154"/>
      <c r="AG485" s="154"/>
      <c r="AH485" s="154"/>
      <c r="AI485" s="155"/>
    </row>
    <row r="486" spans="1:35" s="16" customFormat="1" ht="15.75">
      <c r="A486" s="17"/>
      <c r="B486" s="6"/>
      <c r="C486" s="44"/>
      <c r="P486" s="230"/>
      <c r="Q486" s="154"/>
      <c r="R486" s="154"/>
      <c r="S486" s="154"/>
      <c r="T486" s="154"/>
      <c r="U486" s="154"/>
      <c r="V486" s="154"/>
      <c r="W486" s="154"/>
      <c r="X486" s="154"/>
      <c r="Y486" s="154"/>
      <c r="Z486" s="154"/>
      <c r="AA486" s="154"/>
      <c r="AB486" s="154"/>
      <c r="AC486" s="154"/>
      <c r="AD486" s="154"/>
      <c r="AE486" s="154"/>
      <c r="AF486" s="154"/>
      <c r="AG486" s="154"/>
      <c r="AH486" s="154"/>
      <c r="AI486" s="155"/>
    </row>
    <row r="487" spans="1:35" s="16" customFormat="1" ht="15.75">
      <c r="A487" s="17"/>
      <c r="B487" s="6"/>
      <c r="C487" s="44"/>
      <c r="P487" s="230"/>
      <c r="Q487" s="154"/>
      <c r="R487" s="154"/>
      <c r="S487" s="154"/>
      <c r="T487" s="154"/>
      <c r="U487" s="154"/>
      <c r="V487" s="154"/>
      <c r="W487" s="154"/>
      <c r="X487" s="154"/>
      <c r="Y487" s="154"/>
      <c r="Z487" s="154"/>
      <c r="AA487" s="154"/>
      <c r="AB487" s="154"/>
      <c r="AC487" s="154"/>
      <c r="AD487" s="154"/>
      <c r="AE487" s="154"/>
      <c r="AF487" s="154"/>
      <c r="AG487" s="154"/>
      <c r="AH487" s="154"/>
      <c r="AI487" s="155"/>
    </row>
    <row r="488" spans="1:35" s="16" customFormat="1" ht="15.75">
      <c r="A488" s="17"/>
      <c r="B488" s="6"/>
      <c r="C488" s="44"/>
      <c r="P488" s="230"/>
      <c r="Q488" s="154"/>
      <c r="R488" s="154"/>
      <c r="S488" s="154"/>
      <c r="T488" s="154"/>
      <c r="U488" s="154"/>
      <c r="V488" s="154"/>
      <c r="W488" s="154"/>
      <c r="X488" s="154"/>
      <c r="Y488" s="154"/>
      <c r="Z488" s="154"/>
      <c r="AA488" s="154"/>
      <c r="AB488" s="154"/>
      <c r="AC488" s="154"/>
      <c r="AD488" s="154"/>
      <c r="AE488" s="154"/>
      <c r="AF488" s="154"/>
      <c r="AG488" s="154"/>
      <c r="AH488" s="154"/>
      <c r="AI488" s="155"/>
    </row>
    <row r="489" spans="1:35" s="16" customFormat="1" ht="15.75">
      <c r="A489" s="17"/>
      <c r="B489" s="6"/>
      <c r="C489" s="44"/>
      <c r="P489" s="230"/>
      <c r="Q489" s="154"/>
      <c r="R489" s="154"/>
      <c r="S489" s="154"/>
      <c r="T489" s="154"/>
      <c r="U489" s="154"/>
      <c r="V489" s="154"/>
      <c r="W489" s="154"/>
      <c r="X489" s="154"/>
      <c r="Y489" s="154"/>
      <c r="Z489" s="154"/>
      <c r="AA489" s="154"/>
      <c r="AB489" s="154"/>
      <c r="AC489" s="154"/>
      <c r="AD489" s="154"/>
      <c r="AE489" s="154"/>
      <c r="AF489" s="154"/>
      <c r="AG489" s="154"/>
      <c r="AH489" s="154"/>
      <c r="AI489" s="155"/>
    </row>
    <row r="490" spans="1:35" s="16" customFormat="1" ht="15.75">
      <c r="A490" s="17"/>
      <c r="B490" s="6"/>
      <c r="C490" s="44"/>
      <c r="P490" s="230"/>
      <c r="Q490" s="154"/>
      <c r="R490" s="154"/>
      <c r="S490" s="154"/>
      <c r="T490" s="154"/>
      <c r="U490" s="154"/>
      <c r="V490" s="154"/>
      <c r="W490" s="154"/>
      <c r="X490" s="154"/>
      <c r="Y490" s="154"/>
      <c r="Z490" s="154"/>
      <c r="AA490" s="154"/>
      <c r="AB490" s="154"/>
      <c r="AC490" s="154"/>
      <c r="AD490" s="154"/>
      <c r="AE490" s="154"/>
      <c r="AF490" s="154"/>
      <c r="AG490" s="154"/>
      <c r="AH490" s="154"/>
      <c r="AI490" s="155"/>
    </row>
    <row r="491" spans="1:35" s="16" customFormat="1" ht="15.75">
      <c r="A491" s="17"/>
      <c r="B491" s="6"/>
      <c r="C491" s="44"/>
      <c r="P491" s="230"/>
      <c r="Q491" s="154"/>
      <c r="R491" s="154"/>
      <c r="S491" s="154"/>
      <c r="T491" s="154"/>
      <c r="U491" s="154"/>
      <c r="V491" s="154"/>
      <c r="W491" s="154"/>
      <c r="X491" s="154"/>
      <c r="Y491" s="154"/>
      <c r="Z491" s="154"/>
      <c r="AA491" s="154"/>
      <c r="AB491" s="154"/>
      <c r="AC491" s="154"/>
      <c r="AD491" s="154"/>
      <c r="AE491" s="154"/>
      <c r="AF491" s="154"/>
      <c r="AG491" s="154"/>
      <c r="AH491" s="154"/>
      <c r="AI491" s="155"/>
    </row>
    <row r="492" spans="1:35" s="16" customFormat="1" ht="15.75">
      <c r="A492" s="17"/>
      <c r="B492" s="6"/>
      <c r="C492" s="44"/>
      <c r="P492" s="230"/>
      <c r="Q492" s="154"/>
      <c r="R492" s="154"/>
      <c r="S492" s="154"/>
      <c r="T492" s="154"/>
      <c r="U492" s="154"/>
      <c r="V492" s="154"/>
      <c r="W492" s="154"/>
      <c r="X492" s="154"/>
      <c r="Y492" s="154"/>
      <c r="Z492" s="154"/>
      <c r="AA492" s="154"/>
      <c r="AB492" s="154"/>
      <c r="AC492" s="154"/>
      <c r="AD492" s="154"/>
      <c r="AE492" s="154"/>
      <c r="AF492" s="154"/>
      <c r="AG492" s="154"/>
      <c r="AH492" s="154"/>
      <c r="AI492" s="155"/>
    </row>
    <row r="493" spans="1:35" s="16" customFormat="1" ht="15.75">
      <c r="A493" s="17"/>
      <c r="B493" s="6"/>
      <c r="C493" s="44"/>
      <c r="P493" s="230"/>
      <c r="Q493" s="154"/>
      <c r="R493" s="154"/>
      <c r="S493" s="154"/>
      <c r="T493" s="154"/>
      <c r="U493" s="154"/>
      <c r="V493" s="154"/>
      <c r="W493" s="154"/>
      <c r="X493" s="154"/>
      <c r="Y493" s="154"/>
      <c r="Z493" s="154"/>
      <c r="AA493" s="154"/>
      <c r="AB493" s="154"/>
      <c r="AC493" s="154"/>
      <c r="AD493" s="154"/>
      <c r="AE493" s="154"/>
      <c r="AF493" s="154"/>
      <c r="AG493" s="154"/>
      <c r="AH493" s="154"/>
      <c r="AI493" s="155"/>
    </row>
    <row r="494" spans="1:35" s="16" customFormat="1" ht="15.75">
      <c r="A494" s="17"/>
      <c r="B494" s="6"/>
      <c r="C494" s="44"/>
      <c r="P494" s="230"/>
      <c r="Q494" s="154"/>
      <c r="R494" s="154"/>
      <c r="S494" s="154"/>
      <c r="T494" s="154"/>
      <c r="U494" s="154"/>
      <c r="V494" s="154"/>
      <c r="W494" s="154"/>
      <c r="X494" s="154"/>
      <c r="Y494" s="154"/>
      <c r="Z494" s="154"/>
      <c r="AA494" s="154"/>
      <c r="AB494" s="154"/>
      <c r="AC494" s="154"/>
      <c r="AD494" s="154"/>
      <c r="AE494" s="154"/>
      <c r="AF494" s="154"/>
      <c r="AG494" s="154"/>
      <c r="AH494" s="154"/>
      <c r="AI494" s="155"/>
    </row>
    <row r="495" spans="1:35" s="16" customFormat="1" ht="15.75">
      <c r="A495" s="17"/>
      <c r="B495" s="6"/>
      <c r="C495" s="44"/>
      <c r="P495" s="230"/>
      <c r="Q495" s="154"/>
      <c r="R495" s="154"/>
      <c r="S495" s="154"/>
      <c r="T495" s="154"/>
      <c r="U495" s="154"/>
      <c r="V495" s="154"/>
      <c r="W495" s="154"/>
      <c r="X495" s="154"/>
      <c r="Y495" s="154"/>
      <c r="Z495" s="154"/>
      <c r="AA495" s="154"/>
      <c r="AB495" s="154"/>
      <c r="AC495" s="154"/>
      <c r="AD495" s="154"/>
      <c r="AE495" s="154"/>
      <c r="AF495" s="154"/>
      <c r="AG495" s="154"/>
      <c r="AH495" s="154"/>
      <c r="AI495" s="155"/>
    </row>
    <row r="496" spans="1:35" s="16" customFormat="1" ht="15.75">
      <c r="A496" s="17"/>
      <c r="B496" s="6"/>
      <c r="C496" s="44"/>
      <c r="P496" s="230"/>
      <c r="Q496" s="154"/>
      <c r="R496" s="154"/>
      <c r="S496" s="154"/>
      <c r="T496" s="154"/>
      <c r="U496" s="154"/>
      <c r="V496" s="154"/>
      <c r="W496" s="154"/>
      <c r="X496" s="154"/>
      <c r="Y496" s="154"/>
      <c r="Z496" s="154"/>
      <c r="AA496" s="154"/>
      <c r="AB496" s="154"/>
      <c r="AC496" s="154"/>
      <c r="AD496" s="154"/>
      <c r="AE496" s="154"/>
      <c r="AF496" s="154"/>
      <c r="AG496" s="154"/>
      <c r="AH496" s="154"/>
      <c r="AI496" s="155"/>
    </row>
    <row r="497" spans="1:35" s="16" customFormat="1" ht="15.75">
      <c r="A497" s="17"/>
      <c r="B497" s="6"/>
      <c r="C497" s="44"/>
      <c r="P497" s="230"/>
      <c r="Q497" s="154"/>
      <c r="R497" s="154"/>
      <c r="S497" s="154"/>
      <c r="T497" s="154"/>
      <c r="U497" s="154"/>
      <c r="V497" s="154"/>
      <c r="W497" s="154"/>
      <c r="X497" s="154"/>
      <c r="Y497" s="154"/>
      <c r="Z497" s="154"/>
      <c r="AA497" s="154"/>
      <c r="AB497" s="154"/>
      <c r="AC497" s="154"/>
      <c r="AD497" s="154"/>
      <c r="AE497" s="154"/>
      <c r="AF497" s="154"/>
      <c r="AG497" s="154"/>
      <c r="AH497" s="154"/>
      <c r="AI497" s="155"/>
    </row>
    <row r="498" spans="1:35" s="16" customFormat="1" ht="15.75">
      <c r="A498" s="17"/>
      <c r="B498" s="6"/>
      <c r="C498" s="44"/>
      <c r="P498" s="230"/>
      <c r="Q498" s="154"/>
      <c r="R498" s="154"/>
      <c r="S498" s="154"/>
      <c r="T498" s="154"/>
      <c r="U498" s="154"/>
      <c r="V498" s="154"/>
      <c r="W498" s="154"/>
      <c r="X498" s="154"/>
      <c r="Y498" s="154"/>
      <c r="Z498" s="154"/>
      <c r="AA498" s="154"/>
      <c r="AB498" s="154"/>
      <c r="AC498" s="154"/>
      <c r="AD498" s="154"/>
      <c r="AE498" s="154"/>
      <c r="AF498" s="154"/>
      <c r="AG498" s="154"/>
      <c r="AH498" s="154"/>
      <c r="AI498" s="155"/>
    </row>
    <row r="499" spans="1:35" s="16" customFormat="1" ht="15.75">
      <c r="A499" s="17"/>
      <c r="B499" s="6"/>
      <c r="C499" s="44"/>
      <c r="P499" s="230"/>
      <c r="Q499" s="154"/>
      <c r="R499" s="154"/>
      <c r="S499" s="154"/>
      <c r="T499" s="154"/>
      <c r="U499" s="154"/>
      <c r="V499" s="154"/>
      <c r="W499" s="154"/>
      <c r="X499" s="154"/>
      <c r="Y499" s="154"/>
      <c r="Z499" s="154"/>
      <c r="AA499" s="154"/>
      <c r="AB499" s="154"/>
      <c r="AC499" s="154"/>
      <c r="AD499" s="154"/>
      <c r="AE499" s="154"/>
      <c r="AF499" s="154"/>
      <c r="AG499" s="154"/>
      <c r="AH499" s="154"/>
      <c r="AI499" s="155"/>
    </row>
    <row r="500" spans="1:35" s="16" customFormat="1" ht="15.75">
      <c r="A500" s="17"/>
      <c r="B500" s="6"/>
      <c r="C500" s="44"/>
      <c r="P500" s="230"/>
      <c r="Q500" s="154"/>
      <c r="R500" s="154"/>
      <c r="S500" s="154"/>
      <c r="T500" s="154"/>
      <c r="U500" s="154"/>
      <c r="V500" s="154"/>
      <c r="W500" s="154"/>
      <c r="X500" s="154"/>
      <c r="Y500" s="154"/>
      <c r="Z500" s="154"/>
      <c r="AA500" s="154"/>
      <c r="AB500" s="154"/>
      <c r="AC500" s="154"/>
      <c r="AD500" s="154"/>
      <c r="AE500" s="154"/>
      <c r="AF500" s="154"/>
      <c r="AG500" s="154"/>
      <c r="AH500" s="154"/>
      <c r="AI500" s="155"/>
    </row>
    <row r="501" spans="1:35" s="16" customFormat="1" ht="15.75">
      <c r="A501" s="17"/>
      <c r="B501" s="6"/>
      <c r="C501" s="44"/>
      <c r="P501" s="230"/>
      <c r="Q501" s="154"/>
      <c r="R501" s="154"/>
      <c r="S501" s="154"/>
      <c r="T501" s="154"/>
      <c r="U501" s="154"/>
      <c r="V501" s="154"/>
      <c r="W501" s="154"/>
      <c r="X501" s="154"/>
      <c r="Y501" s="154"/>
      <c r="Z501" s="154"/>
      <c r="AA501" s="154"/>
      <c r="AB501" s="154"/>
      <c r="AC501" s="154"/>
      <c r="AD501" s="154"/>
      <c r="AE501" s="154"/>
      <c r="AF501" s="154"/>
      <c r="AG501" s="154"/>
      <c r="AH501" s="154"/>
      <c r="AI501" s="155"/>
    </row>
    <row r="502" spans="1:35" s="16" customFormat="1" ht="15.75">
      <c r="A502" s="17"/>
      <c r="B502" s="6"/>
      <c r="C502" s="44"/>
      <c r="P502" s="230"/>
      <c r="Q502" s="154"/>
      <c r="R502" s="154"/>
      <c r="S502" s="154"/>
      <c r="T502" s="154"/>
      <c r="U502" s="154"/>
      <c r="V502" s="154"/>
      <c r="W502" s="154"/>
      <c r="X502" s="154"/>
      <c r="Y502" s="154"/>
      <c r="Z502" s="154"/>
      <c r="AA502" s="154"/>
      <c r="AB502" s="154"/>
      <c r="AC502" s="154"/>
      <c r="AD502" s="154"/>
      <c r="AE502" s="154"/>
      <c r="AF502" s="154"/>
      <c r="AG502" s="154"/>
      <c r="AH502" s="154"/>
      <c r="AI502" s="155"/>
    </row>
    <row r="503" spans="1:35" s="16" customFormat="1" ht="15.75">
      <c r="A503" s="17"/>
      <c r="B503" s="6"/>
      <c r="C503" s="44"/>
      <c r="P503" s="230"/>
      <c r="Q503" s="154"/>
      <c r="R503" s="154"/>
      <c r="S503" s="154"/>
      <c r="T503" s="154"/>
      <c r="U503" s="154"/>
      <c r="V503" s="154"/>
      <c r="W503" s="154"/>
      <c r="X503" s="154"/>
      <c r="Y503" s="154"/>
      <c r="Z503" s="154"/>
      <c r="AA503" s="154"/>
      <c r="AB503" s="154"/>
      <c r="AC503" s="154"/>
      <c r="AD503" s="154"/>
      <c r="AE503" s="154"/>
      <c r="AF503" s="154"/>
      <c r="AG503" s="154"/>
      <c r="AH503" s="154"/>
      <c r="AI503" s="155"/>
    </row>
    <row r="504" spans="1:35" s="16" customFormat="1" ht="15.75">
      <c r="A504" s="17"/>
      <c r="B504" s="6"/>
      <c r="C504" s="44"/>
      <c r="P504" s="230"/>
      <c r="Q504" s="154"/>
      <c r="R504" s="154"/>
      <c r="S504" s="154"/>
      <c r="T504" s="154"/>
      <c r="U504" s="154"/>
      <c r="V504" s="154"/>
      <c r="W504" s="154"/>
      <c r="X504" s="154"/>
      <c r="Y504" s="154"/>
      <c r="Z504" s="154"/>
      <c r="AA504" s="154"/>
      <c r="AB504" s="154"/>
      <c r="AC504" s="154"/>
      <c r="AD504" s="154"/>
      <c r="AE504" s="154"/>
      <c r="AF504" s="154"/>
      <c r="AG504" s="154"/>
      <c r="AH504" s="154"/>
      <c r="AI504" s="155"/>
    </row>
    <row r="505" spans="1:35" s="16" customFormat="1" ht="15.75">
      <c r="A505" s="17"/>
      <c r="B505" s="6"/>
      <c r="C505" s="44"/>
      <c r="P505" s="230"/>
      <c r="Q505" s="154"/>
      <c r="R505" s="154"/>
      <c r="S505" s="154"/>
      <c r="T505" s="154"/>
      <c r="U505" s="154"/>
      <c r="V505" s="154"/>
      <c r="W505" s="154"/>
      <c r="X505" s="154"/>
      <c r="Y505" s="154"/>
      <c r="Z505" s="154"/>
      <c r="AA505" s="154"/>
      <c r="AB505" s="154"/>
      <c r="AC505" s="154"/>
      <c r="AD505" s="154"/>
      <c r="AE505" s="154"/>
      <c r="AF505" s="154"/>
      <c r="AG505" s="154"/>
      <c r="AH505" s="154"/>
      <c r="AI505" s="155"/>
    </row>
    <row r="506" spans="1:35" s="16" customFormat="1" ht="15.75">
      <c r="A506" s="17"/>
      <c r="B506" s="6"/>
      <c r="C506" s="44"/>
      <c r="P506" s="230"/>
      <c r="Q506" s="154"/>
      <c r="R506" s="154"/>
      <c r="S506" s="154"/>
      <c r="T506" s="154"/>
      <c r="U506" s="154"/>
      <c r="V506" s="154"/>
      <c r="W506" s="154"/>
      <c r="X506" s="154"/>
      <c r="Y506" s="154"/>
      <c r="Z506" s="154"/>
      <c r="AA506" s="154"/>
      <c r="AB506" s="154"/>
      <c r="AC506" s="154"/>
      <c r="AD506" s="154"/>
      <c r="AE506" s="154"/>
      <c r="AF506" s="154"/>
      <c r="AG506" s="154"/>
      <c r="AH506" s="154"/>
      <c r="AI506" s="155"/>
    </row>
    <row r="507" spans="1:35" s="16" customFormat="1" ht="15.75">
      <c r="A507" s="17"/>
      <c r="B507" s="6"/>
      <c r="C507" s="44"/>
      <c r="P507" s="230"/>
      <c r="Q507" s="154"/>
      <c r="R507" s="154"/>
      <c r="S507" s="154"/>
      <c r="T507" s="154"/>
      <c r="U507" s="154"/>
      <c r="V507" s="154"/>
      <c r="W507" s="154"/>
      <c r="X507" s="154"/>
      <c r="Y507" s="154"/>
      <c r="Z507" s="154"/>
      <c r="AA507" s="154"/>
      <c r="AB507" s="154"/>
      <c r="AC507" s="154"/>
      <c r="AD507" s="154"/>
      <c r="AE507" s="154"/>
      <c r="AF507" s="154"/>
      <c r="AG507" s="154"/>
      <c r="AH507" s="154"/>
      <c r="AI507" s="155"/>
    </row>
    <row r="508" spans="1:35" s="16" customFormat="1" ht="15.75">
      <c r="A508" s="17"/>
      <c r="B508" s="6"/>
      <c r="C508" s="44"/>
      <c r="P508" s="230"/>
      <c r="Q508" s="154"/>
      <c r="R508" s="154"/>
      <c r="S508" s="154"/>
      <c r="T508" s="154"/>
      <c r="U508" s="154"/>
      <c r="V508" s="154"/>
      <c r="W508" s="154"/>
      <c r="X508" s="154"/>
      <c r="Y508" s="154"/>
      <c r="Z508" s="154"/>
      <c r="AA508" s="154"/>
      <c r="AB508" s="154"/>
      <c r="AC508" s="154"/>
      <c r="AD508" s="154"/>
      <c r="AE508" s="154"/>
      <c r="AF508" s="154"/>
      <c r="AG508" s="154"/>
      <c r="AH508" s="154"/>
      <c r="AI508" s="155"/>
    </row>
    <row r="509" spans="1:35" s="16" customFormat="1" ht="15.75">
      <c r="A509" s="17"/>
      <c r="B509" s="6"/>
      <c r="C509" s="44"/>
      <c r="P509" s="230"/>
      <c r="Q509" s="154"/>
      <c r="R509" s="154"/>
      <c r="S509" s="154"/>
      <c r="T509" s="154"/>
      <c r="U509" s="154"/>
      <c r="V509" s="154"/>
      <c r="W509" s="154"/>
      <c r="X509" s="154"/>
      <c r="Y509" s="154"/>
      <c r="Z509" s="154"/>
      <c r="AA509" s="154"/>
      <c r="AB509" s="154"/>
      <c r="AC509" s="154"/>
      <c r="AD509" s="154"/>
      <c r="AE509" s="154"/>
      <c r="AF509" s="154"/>
      <c r="AG509" s="154"/>
      <c r="AH509" s="154"/>
      <c r="AI509" s="155"/>
    </row>
    <row r="510" spans="1:35" s="16" customFormat="1" ht="15.75">
      <c r="A510" s="17"/>
      <c r="B510" s="6"/>
      <c r="C510" s="44"/>
      <c r="P510" s="230"/>
      <c r="Q510" s="154"/>
      <c r="R510" s="154"/>
      <c r="S510" s="154"/>
      <c r="T510" s="154"/>
      <c r="U510" s="154"/>
      <c r="V510" s="154"/>
      <c r="W510" s="154"/>
      <c r="X510" s="154"/>
      <c r="Y510" s="154"/>
      <c r="Z510" s="154"/>
      <c r="AA510" s="154"/>
      <c r="AB510" s="154"/>
      <c r="AC510" s="154"/>
      <c r="AD510" s="154"/>
      <c r="AE510" s="154"/>
      <c r="AF510" s="154"/>
      <c r="AG510" s="154"/>
      <c r="AH510" s="154"/>
      <c r="AI510" s="155"/>
    </row>
    <row r="511" spans="1:35" s="16" customFormat="1" ht="15.75">
      <c r="A511" s="17"/>
      <c r="B511" s="6"/>
      <c r="C511" s="44"/>
      <c r="P511" s="230"/>
      <c r="Q511" s="154"/>
      <c r="R511" s="154"/>
      <c r="S511" s="154"/>
      <c r="T511" s="154"/>
      <c r="U511" s="154"/>
      <c r="V511" s="154"/>
      <c r="W511" s="154"/>
      <c r="X511" s="154"/>
      <c r="Y511" s="154"/>
      <c r="Z511" s="154"/>
      <c r="AA511" s="154"/>
      <c r="AB511" s="154"/>
      <c r="AC511" s="154"/>
      <c r="AD511" s="154"/>
      <c r="AE511" s="154"/>
      <c r="AF511" s="154"/>
      <c r="AG511" s="154"/>
      <c r="AH511" s="154"/>
      <c r="AI511" s="155"/>
    </row>
    <row r="512" spans="1:35" s="16" customFormat="1" ht="15.75">
      <c r="A512" s="17"/>
      <c r="B512" s="6"/>
      <c r="C512" s="44"/>
      <c r="P512" s="230"/>
      <c r="Q512" s="154"/>
      <c r="R512" s="154"/>
      <c r="S512" s="154"/>
      <c r="T512" s="154"/>
      <c r="U512" s="154"/>
      <c r="V512" s="154"/>
      <c r="W512" s="154"/>
      <c r="X512" s="154"/>
      <c r="Y512" s="154"/>
      <c r="Z512" s="154"/>
      <c r="AA512" s="154"/>
      <c r="AB512" s="154"/>
      <c r="AC512" s="154"/>
      <c r="AD512" s="154"/>
      <c r="AE512" s="154"/>
      <c r="AF512" s="154"/>
      <c r="AG512" s="154"/>
      <c r="AH512" s="154"/>
      <c r="AI512" s="155"/>
    </row>
    <row r="513" spans="1:35" s="16" customFormat="1" ht="15.75">
      <c r="A513" s="17"/>
      <c r="B513" s="6"/>
      <c r="C513" s="44"/>
      <c r="P513" s="230"/>
      <c r="Q513" s="154"/>
      <c r="R513" s="154"/>
      <c r="S513" s="154"/>
      <c r="T513" s="154"/>
      <c r="U513" s="154"/>
      <c r="V513" s="154"/>
      <c r="W513" s="154"/>
      <c r="X513" s="154"/>
      <c r="Y513" s="154"/>
      <c r="Z513" s="154"/>
      <c r="AA513" s="154"/>
      <c r="AB513" s="154"/>
      <c r="AC513" s="154"/>
      <c r="AD513" s="154"/>
      <c r="AE513" s="154"/>
      <c r="AF513" s="154"/>
      <c r="AG513" s="154"/>
      <c r="AH513" s="154"/>
      <c r="AI513" s="155"/>
    </row>
    <row r="514" spans="1:35" s="16" customFormat="1" ht="15.75">
      <c r="A514" s="17"/>
      <c r="B514" s="6"/>
      <c r="C514" s="44"/>
      <c r="P514" s="230"/>
      <c r="Q514" s="154"/>
      <c r="R514" s="154"/>
      <c r="S514" s="154"/>
      <c r="T514" s="154"/>
      <c r="U514" s="154"/>
      <c r="V514" s="154"/>
      <c r="W514" s="154"/>
      <c r="X514" s="154"/>
      <c r="Y514" s="154"/>
      <c r="Z514" s="154"/>
      <c r="AA514" s="154"/>
      <c r="AB514" s="154"/>
      <c r="AC514" s="154"/>
      <c r="AD514" s="154"/>
      <c r="AE514" s="154"/>
      <c r="AF514" s="154"/>
      <c r="AG514" s="154"/>
      <c r="AH514" s="154"/>
      <c r="AI514" s="155"/>
    </row>
    <row r="515" spans="1:35" s="16" customFormat="1" ht="15.75">
      <c r="A515" s="17"/>
      <c r="B515" s="6"/>
      <c r="C515" s="44"/>
      <c r="P515" s="230"/>
      <c r="Q515" s="154"/>
      <c r="R515" s="154"/>
      <c r="S515" s="154"/>
      <c r="T515" s="154"/>
      <c r="U515" s="154"/>
      <c r="V515" s="154"/>
      <c r="W515" s="154"/>
      <c r="X515" s="154"/>
      <c r="Y515" s="154"/>
      <c r="Z515" s="154"/>
      <c r="AA515" s="154"/>
      <c r="AB515" s="154"/>
      <c r="AC515" s="154"/>
      <c r="AD515" s="154"/>
      <c r="AE515" s="154"/>
      <c r="AF515" s="154"/>
      <c r="AG515" s="154"/>
      <c r="AH515" s="154"/>
      <c r="AI515" s="155"/>
    </row>
    <row r="516" spans="1:35" s="16" customFormat="1" ht="15.75">
      <c r="A516" s="17"/>
      <c r="B516" s="6"/>
      <c r="C516" s="44"/>
      <c r="P516" s="230"/>
      <c r="Q516" s="154"/>
      <c r="R516" s="154"/>
      <c r="S516" s="154"/>
      <c r="T516" s="154"/>
      <c r="U516" s="154"/>
      <c r="V516" s="154"/>
      <c r="W516" s="154"/>
      <c r="X516" s="154"/>
      <c r="Y516" s="154"/>
      <c r="Z516" s="154"/>
      <c r="AA516" s="154"/>
      <c r="AB516" s="154"/>
      <c r="AC516" s="154"/>
      <c r="AD516" s="154"/>
      <c r="AE516" s="154"/>
      <c r="AF516" s="154"/>
      <c r="AG516" s="154"/>
      <c r="AH516" s="154"/>
      <c r="AI516" s="155"/>
    </row>
    <row r="517" spans="1:35" s="16" customFormat="1" ht="15.75">
      <c r="A517" s="17"/>
      <c r="B517" s="6"/>
      <c r="C517" s="44"/>
      <c r="P517" s="230"/>
      <c r="Q517" s="154"/>
      <c r="R517" s="154"/>
      <c r="S517" s="154"/>
      <c r="T517" s="154"/>
      <c r="U517" s="154"/>
      <c r="V517" s="154"/>
      <c r="W517" s="154"/>
      <c r="X517" s="154"/>
      <c r="Y517" s="154"/>
      <c r="Z517" s="154"/>
      <c r="AA517" s="154"/>
      <c r="AB517" s="154"/>
      <c r="AC517" s="154"/>
      <c r="AD517" s="154"/>
      <c r="AE517" s="154"/>
      <c r="AF517" s="154"/>
      <c r="AG517" s="154"/>
      <c r="AH517" s="154"/>
      <c r="AI517" s="155"/>
    </row>
    <row r="518" spans="1:35" s="16" customFormat="1" ht="15.75">
      <c r="A518" s="17"/>
      <c r="B518" s="6"/>
      <c r="C518" s="44"/>
      <c r="P518" s="230"/>
      <c r="Q518" s="154"/>
      <c r="R518" s="154"/>
      <c r="S518" s="154"/>
      <c r="T518" s="154"/>
      <c r="U518" s="154"/>
      <c r="V518" s="154"/>
      <c r="W518" s="154"/>
      <c r="X518" s="154"/>
      <c r="Y518" s="154"/>
      <c r="Z518" s="154"/>
      <c r="AA518" s="154"/>
      <c r="AB518" s="154"/>
      <c r="AC518" s="154"/>
      <c r="AD518" s="154"/>
      <c r="AE518" s="154"/>
      <c r="AF518" s="154"/>
      <c r="AG518" s="154"/>
      <c r="AH518" s="154"/>
      <c r="AI518" s="155"/>
    </row>
    <row r="519" spans="1:35" s="16" customFormat="1" ht="15.75">
      <c r="A519" s="17"/>
      <c r="B519" s="6"/>
      <c r="C519" s="44"/>
      <c r="P519" s="230"/>
      <c r="Q519" s="154"/>
      <c r="R519" s="154"/>
      <c r="S519" s="154"/>
      <c r="T519" s="154"/>
      <c r="U519" s="154"/>
      <c r="V519" s="154"/>
      <c r="W519" s="154"/>
      <c r="X519" s="154"/>
      <c r="Y519" s="154"/>
      <c r="Z519" s="154"/>
      <c r="AA519" s="154"/>
      <c r="AB519" s="154"/>
      <c r="AC519" s="154"/>
      <c r="AD519" s="154"/>
      <c r="AE519" s="154"/>
      <c r="AF519" s="154"/>
      <c r="AG519" s="154"/>
      <c r="AH519" s="154"/>
      <c r="AI519" s="155"/>
    </row>
    <row r="520" spans="1:35" s="16" customFormat="1" ht="15.75">
      <c r="A520" s="17"/>
      <c r="B520" s="6"/>
      <c r="C520" s="44"/>
      <c r="P520" s="230"/>
      <c r="Q520" s="154"/>
      <c r="R520" s="154"/>
      <c r="S520" s="154"/>
      <c r="T520" s="154"/>
      <c r="U520" s="154"/>
      <c r="V520" s="154"/>
      <c r="W520" s="154"/>
      <c r="X520" s="154"/>
      <c r="Y520" s="154"/>
      <c r="Z520" s="154"/>
      <c r="AA520" s="154"/>
      <c r="AB520" s="154"/>
      <c r="AC520" s="154"/>
      <c r="AD520" s="154"/>
      <c r="AE520" s="154"/>
      <c r="AF520" s="154"/>
      <c r="AG520" s="154"/>
      <c r="AH520" s="154"/>
      <c r="AI520" s="155"/>
    </row>
    <row r="521" spans="1:35" s="16" customFormat="1" ht="15.75">
      <c r="A521" s="17"/>
      <c r="B521" s="6"/>
      <c r="C521" s="44"/>
      <c r="P521" s="230"/>
      <c r="Q521" s="154"/>
      <c r="R521" s="154"/>
      <c r="S521" s="154"/>
      <c r="T521" s="154"/>
      <c r="U521" s="154"/>
      <c r="V521" s="154"/>
      <c r="W521" s="154"/>
      <c r="X521" s="154"/>
      <c r="Y521" s="154"/>
      <c r="Z521" s="154"/>
      <c r="AA521" s="154"/>
      <c r="AB521" s="154"/>
      <c r="AC521" s="154"/>
      <c r="AD521" s="154"/>
      <c r="AE521" s="154"/>
      <c r="AF521" s="154"/>
      <c r="AG521" s="154"/>
      <c r="AH521" s="154"/>
      <c r="AI521" s="155"/>
    </row>
    <row r="522" spans="1:35" s="16" customFormat="1" ht="15.75">
      <c r="A522" s="17"/>
      <c r="B522" s="6"/>
      <c r="C522" s="44"/>
      <c r="P522" s="230"/>
      <c r="Q522" s="154"/>
      <c r="R522" s="154"/>
      <c r="S522" s="154"/>
      <c r="T522" s="154"/>
      <c r="U522" s="154"/>
      <c r="V522" s="154"/>
      <c r="W522" s="154"/>
      <c r="X522" s="154"/>
      <c r="Y522" s="154"/>
      <c r="Z522" s="154"/>
      <c r="AA522" s="154"/>
      <c r="AB522" s="154"/>
      <c r="AC522" s="154"/>
      <c r="AD522" s="154"/>
      <c r="AE522" s="154"/>
      <c r="AF522" s="154"/>
      <c r="AG522" s="154"/>
      <c r="AH522" s="154"/>
      <c r="AI522" s="155"/>
    </row>
    <row r="523" spans="1:35" s="16" customFormat="1" ht="15.75">
      <c r="A523" s="17"/>
      <c r="B523" s="6"/>
      <c r="C523" s="44"/>
      <c r="P523" s="230"/>
      <c r="Q523" s="154"/>
      <c r="R523" s="154"/>
      <c r="S523" s="154"/>
      <c r="T523" s="154"/>
      <c r="U523" s="154"/>
      <c r="V523" s="154"/>
      <c r="W523" s="154"/>
      <c r="X523" s="154"/>
      <c r="Y523" s="154"/>
      <c r="Z523" s="154"/>
      <c r="AA523" s="154"/>
      <c r="AB523" s="154"/>
      <c r="AC523" s="154"/>
      <c r="AD523" s="154"/>
      <c r="AE523" s="154"/>
      <c r="AF523" s="154"/>
      <c r="AG523" s="154"/>
      <c r="AH523" s="154"/>
      <c r="AI523" s="155"/>
    </row>
    <row r="524" spans="1:35" s="16" customFormat="1" ht="15.75">
      <c r="A524" s="17"/>
      <c r="B524" s="6"/>
      <c r="C524" s="44"/>
      <c r="P524" s="230"/>
      <c r="Q524" s="154"/>
      <c r="R524" s="154"/>
      <c r="S524" s="154"/>
      <c r="T524" s="154"/>
      <c r="U524" s="154"/>
      <c r="V524" s="154"/>
      <c r="W524" s="154"/>
      <c r="X524" s="154"/>
      <c r="Y524" s="154"/>
      <c r="Z524" s="154"/>
      <c r="AA524" s="154"/>
      <c r="AB524" s="154"/>
      <c r="AC524" s="154"/>
      <c r="AD524" s="154"/>
      <c r="AE524" s="154"/>
      <c r="AF524" s="154"/>
      <c r="AG524" s="154"/>
      <c r="AH524" s="154"/>
      <c r="AI524" s="155"/>
    </row>
    <row r="525" spans="1:35" s="16" customFormat="1" ht="15.75">
      <c r="A525" s="17"/>
      <c r="B525" s="6"/>
      <c r="C525" s="44"/>
      <c r="P525" s="230"/>
      <c r="Q525" s="154"/>
      <c r="R525" s="154"/>
      <c r="S525" s="154"/>
      <c r="T525" s="154"/>
      <c r="U525" s="154"/>
      <c r="V525" s="154"/>
      <c r="W525" s="154"/>
      <c r="X525" s="154"/>
      <c r="Y525" s="154"/>
      <c r="Z525" s="154"/>
      <c r="AA525" s="154"/>
      <c r="AB525" s="154"/>
      <c r="AC525" s="154"/>
      <c r="AD525" s="154"/>
      <c r="AE525" s="154"/>
      <c r="AF525" s="154"/>
      <c r="AG525" s="154"/>
      <c r="AH525" s="154"/>
      <c r="AI525" s="155"/>
    </row>
    <row r="526" spans="1:35" s="16" customFormat="1" ht="15.75">
      <c r="A526" s="17"/>
      <c r="B526" s="6"/>
      <c r="C526" s="44"/>
      <c r="P526" s="230"/>
      <c r="Q526" s="154"/>
      <c r="R526" s="154"/>
      <c r="S526" s="154"/>
      <c r="T526" s="154"/>
      <c r="U526" s="154"/>
      <c r="V526" s="154"/>
      <c r="W526" s="154"/>
      <c r="X526" s="154"/>
      <c r="Y526" s="154"/>
      <c r="Z526" s="154"/>
      <c r="AA526" s="154"/>
      <c r="AB526" s="154"/>
      <c r="AC526" s="154"/>
      <c r="AD526" s="154"/>
      <c r="AE526" s="154"/>
      <c r="AF526" s="154"/>
      <c r="AG526" s="154"/>
      <c r="AH526" s="154"/>
      <c r="AI526" s="155"/>
    </row>
    <row r="527" spans="1:35" s="16" customFormat="1" ht="15.75">
      <c r="A527" s="17"/>
      <c r="B527" s="6"/>
      <c r="C527" s="44"/>
      <c r="P527" s="230"/>
      <c r="Q527" s="154"/>
      <c r="R527" s="154"/>
      <c r="S527" s="154"/>
      <c r="T527" s="154"/>
      <c r="U527" s="154"/>
      <c r="V527" s="154"/>
      <c r="W527" s="154"/>
      <c r="X527" s="154"/>
      <c r="Y527" s="154"/>
      <c r="Z527" s="154"/>
      <c r="AA527" s="154"/>
      <c r="AB527" s="154"/>
      <c r="AC527" s="154"/>
      <c r="AD527" s="154"/>
      <c r="AE527" s="154"/>
      <c r="AF527" s="154"/>
      <c r="AG527" s="154"/>
      <c r="AH527" s="154"/>
      <c r="AI527" s="155"/>
    </row>
    <row r="528" spans="1:35" s="16" customFormat="1" ht="15.75">
      <c r="A528" s="17"/>
      <c r="B528" s="6"/>
      <c r="C528" s="44"/>
      <c r="P528" s="230"/>
      <c r="Q528" s="154"/>
      <c r="R528" s="154"/>
      <c r="S528" s="154"/>
      <c r="T528" s="154"/>
      <c r="U528" s="154"/>
      <c r="V528" s="154"/>
      <c r="W528" s="154"/>
      <c r="X528" s="154"/>
      <c r="Y528" s="154"/>
      <c r="Z528" s="154"/>
      <c r="AA528" s="154"/>
      <c r="AB528" s="154"/>
      <c r="AC528" s="154"/>
      <c r="AD528" s="154"/>
      <c r="AE528" s="154"/>
      <c r="AF528" s="154"/>
      <c r="AG528" s="154"/>
      <c r="AH528" s="154"/>
      <c r="AI528" s="155"/>
    </row>
    <row r="529" spans="1:35" s="16" customFormat="1" ht="15.75">
      <c r="A529" s="17"/>
      <c r="B529" s="6"/>
      <c r="C529" s="44"/>
      <c r="P529" s="230"/>
      <c r="Q529" s="154"/>
      <c r="R529" s="154"/>
      <c r="S529" s="154"/>
      <c r="T529" s="154"/>
      <c r="U529" s="154"/>
      <c r="V529" s="154"/>
      <c r="W529" s="154"/>
      <c r="X529" s="154"/>
      <c r="Y529" s="154"/>
      <c r="Z529" s="154"/>
      <c r="AA529" s="154"/>
      <c r="AB529" s="154"/>
      <c r="AC529" s="154"/>
      <c r="AD529" s="154"/>
      <c r="AE529" s="154"/>
      <c r="AF529" s="154"/>
      <c r="AG529" s="154"/>
      <c r="AH529" s="154"/>
      <c r="AI529" s="155"/>
    </row>
    <row r="530" spans="1:35" s="16" customFormat="1" ht="15.75">
      <c r="A530" s="17"/>
      <c r="B530" s="6"/>
      <c r="C530" s="44"/>
      <c r="P530" s="230"/>
      <c r="Q530" s="154"/>
      <c r="R530" s="154"/>
      <c r="S530" s="154"/>
      <c r="T530" s="154"/>
      <c r="U530" s="154"/>
      <c r="V530" s="154"/>
      <c r="W530" s="154"/>
      <c r="X530" s="154"/>
      <c r="Y530" s="154"/>
      <c r="Z530" s="154"/>
      <c r="AA530" s="154"/>
      <c r="AB530" s="154"/>
      <c r="AC530" s="154"/>
      <c r="AD530" s="154"/>
      <c r="AE530" s="154"/>
      <c r="AF530" s="154"/>
      <c r="AG530" s="154"/>
      <c r="AH530" s="154"/>
      <c r="AI530" s="155"/>
    </row>
    <row r="531" spans="1:35" s="16" customFormat="1" ht="15.75">
      <c r="A531" s="17"/>
      <c r="B531" s="6"/>
      <c r="C531" s="44"/>
      <c r="P531" s="230"/>
      <c r="Q531" s="154"/>
      <c r="R531" s="154"/>
      <c r="S531" s="154"/>
      <c r="T531" s="154"/>
      <c r="U531" s="154"/>
      <c r="V531" s="154"/>
      <c r="W531" s="154"/>
      <c r="X531" s="154"/>
      <c r="Y531" s="154"/>
      <c r="Z531" s="154"/>
      <c r="AA531" s="154"/>
      <c r="AB531" s="154"/>
      <c r="AC531" s="154"/>
      <c r="AD531" s="154"/>
      <c r="AE531" s="154"/>
      <c r="AF531" s="154"/>
      <c r="AG531" s="154"/>
      <c r="AH531" s="154"/>
      <c r="AI531" s="155"/>
    </row>
    <row r="532" spans="1:35" s="16" customFormat="1" ht="15.75">
      <c r="A532" s="17"/>
      <c r="B532" s="6"/>
      <c r="C532" s="44"/>
      <c r="P532" s="230"/>
      <c r="Q532" s="154"/>
      <c r="R532" s="154"/>
      <c r="S532" s="154"/>
      <c r="T532" s="154"/>
      <c r="U532" s="154"/>
      <c r="V532" s="154"/>
      <c r="W532" s="154"/>
      <c r="X532" s="154"/>
      <c r="Y532" s="154"/>
      <c r="Z532" s="154"/>
      <c r="AA532" s="154"/>
      <c r="AB532" s="154"/>
      <c r="AC532" s="154"/>
      <c r="AD532" s="154"/>
      <c r="AE532" s="154"/>
      <c r="AF532" s="154"/>
      <c r="AG532" s="154"/>
      <c r="AH532" s="154"/>
      <c r="AI532" s="155"/>
    </row>
    <row r="533" spans="1:35" s="16" customFormat="1" ht="15.75">
      <c r="A533" s="17"/>
      <c r="B533" s="6"/>
      <c r="C533" s="44"/>
      <c r="P533" s="230"/>
      <c r="Q533" s="154"/>
      <c r="R533" s="154"/>
      <c r="S533" s="154"/>
      <c r="T533" s="154"/>
      <c r="U533" s="154"/>
      <c r="V533" s="154"/>
      <c r="W533" s="154"/>
      <c r="X533" s="154"/>
      <c r="Y533" s="154"/>
      <c r="Z533" s="154"/>
      <c r="AA533" s="154"/>
      <c r="AB533" s="154"/>
      <c r="AC533" s="154"/>
      <c r="AD533" s="154"/>
      <c r="AE533" s="154"/>
      <c r="AF533" s="154"/>
      <c r="AG533" s="154"/>
      <c r="AH533" s="154"/>
      <c r="AI533" s="155"/>
    </row>
    <row r="534" spans="1:35" s="16" customFormat="1" ht="15.75">
      <c r="A534" s="17"/>
      <c r="B534" s="6"/>
      <c r="C534" s="44"/>
      <c r="P534" s="230"/>
      <c r="Q534" s="154"/>
      <c r="R534" s="154"/>
      <c r="S534" s="154"/>
      <c r="T534" s="154"/>
      <c r="U534" s="154"/>
      <c r="V534" s="154"/>
      <c r="W534" s="154"/>
      <c r="X534" s="154"/>
      <c r="Y534" s="154"/>
      <c r="Z534" s="154"/>
      <c r="AA534" s="154"/>
      <c r="AB534" s="154"/>
      <c r="AC534" s="154"/>
      <c r="AD534" s="154"/>
      <c r="AE534" s="154"/>
      <c r="AF534" s="154"/>
      <c r="AG534" s="154"/>
      <c r="AH534" s="154"/>
      <c r="AI534" s="155"/>
    </row>
    <row r="535" spans="1:35" s="16" customFormat="1" ht="15.75">
      <c r="A535" s="17"/>
      <c r="B535" s="6"/>
      <c r="C535" s="44"/>
      <c r="P535" s="230"/>
      <c r="Q535" s="154"/>
      <c r="R535" s="154"/>
      <c r="S535" s="154"/>
      <c r="T535" s="154"/>
      <c r="U535" s="154"/>
      <c r="V535" s="154"/>
      <c r="W535" s="154"/>
      <c r="X535" s="154"/>
      <c r="Y535" s="154"/>
      <c r="Z535" s="154"/>
      <c r="AA535" s="154"/>
      <c r="AB535" s="154"/>
      <c r="AC535" s="154"/>
      <c r="AD535" s="154"/>
      <c r="AE535" s="154"/>
      <c r="AF535" s="154"/>
      <c r="AG535" s="154"/>
      <c r="AH535" s="154"/>
      <c r="AI535" s="155"/>
    </row>
    <row r="536" spans="1:35" s="16" customFormat="1" ht="15.75">
      <c r="A536" s="17"/>
      <c r="B536" s="6"/>
      <c r="C536" s="44"/>
      <c r="P536" s="230"/>
      <c r="Q536" s="154"/>
      <c r="R536" s="154"/>
      <c r="S536" s="154"/>
      <c r="T536" s="154"/>
      <c r="U536" s="154"/>
      <c r="V536" s="154"/>
      <c r="W536" s="154"/>
      <c r="X536" s="154"/>
      <c r="Y536" s="154"/>
      <c r="Z536" s="154"/>
      <c r="AA536" s="154"/>
      <c r="AB536" s="154"/>
      <c r="AC536" s="154"/>
      <c r="AD536" s="154"/>
      <c r="AE536" s="154"/>
      <c r="AF536" s="154"/>
      <c r="AG536" s="154"/>
      <c r="AH536" s="154"/>
      <c r="AI536" s="155"/>
    </row>
    <row r="537" spans="1:35" s="16" customFormat="1" ht="15.75">
      <c r="A537" s="17"/>
      <c r="B537" s="6"/>
      <c r="C537" s="44"/>
      <c r="P537" s="230"/>
      <c r="Q537" s="154"/>
      <c r="R537" s="154"/>
      <c r="S537" s="154"/>
      <c r="T537" s="154"/>
      <c r="U537" s="154"/>
      <c r="V537" s="154"/>
      <c r="W537" s="154"/>
      <c r="X537" s="154"/>
      <c r="Y537" s="154"/>
      <c r="Z537" s="154"/>
      <c r="AA537" s="154"/>
      <c r="AB537" s="154"/>
      <c r="AC537" s="154"/>
      <c r="AD537" s="154"/>
      <c r="AE537" s="154"/>
      <c r="AF537" s="154"/>
      <c r="AG537" s="154"/>
      <c r="AH537" s="154"/>
      <c r="AI537" s="155"/>
    </row>
    <row r="538" spans="1:35" s="16" customFormat="1" ht="15.75">
      <c r="A538" s="17"/>
      <c r="B538" s="6"/>
      <c r="C538" s="44"/>
      <c r="P538" s="230"/>
      <c r="Q538" s="154"/>
      <c r="R538" s="154"/>
      <c r="S538" s="154"/>
      <c r="T538" s="154"/>
      <c r="U538" s="154"/>
      <c r="V538" s="154"/>
      <c r="W538" s="154"/>
      <c r="X538" s="154"/>
      <c r="Y538" s="154"/>
      <c r="Z538" s="154"/>
      <c r="AA538" s="154"/>
      <c r="AB538" s="154"/>
      <c r="AC538" s="154"/>
      <c r="AD538" s="154"/>
      <c r="AE538" s="154"/>
      <c r="AF538" s="154"/>
      <c r="AG538" s="154"/>
      <c r="AH538" s="154"/>
      <c r="AI538" s="155"/>
    </row>
    <row r="539" spans="1:35" s="16" customFormat="1" ht="15.75">
      <c r="A539" s="17"/>
      <c r="B539" s="6"/>
      <c r="C539" s="44"/>
      <c r="P539" s="230"/>
      <c r="Q539" s="154"/>
      <c r="R539" s="154"/>
      <c r="S539" s="154"/>
      <c r="T539" s="154"/>
      <c r="U539" s="154"/>
      <c r="V539" s="154"/>
      <c r="W539" s="154"/>
      <c r="X539" s="154"/>
      <c r="Y539" s="154"/>
      <c r="Z539" s="154"/>
      <c r="AA539" s="154"/>
      <c r="AB539" s="154"/>
      <c r="AC539" s="154"/>
      <c r="AD539" s="154"/>
      <c r="AE539" s="154"/>
      <c r="AF539" s="154"/>
      <c r="AG539" s="154"/>
      <c r="AH539" s="154"/>
      <c r="AI539" s="155"/>
    </row>
    <row r="540" spans="1:35" s="16" customFormat="1" ht="15.75">
      <c r="A540" s="17"/>
      <c r="B540" s="6"/>
      <c r="C540" s="44"/>
      <c r="P540" s="230"/>
      <c r="Q540" s="154"/>
      <c r="R540" s="154"/>
      <c r="S540" s="154"/>
      <c r="T540" s="154"/>
      <c r="U540" s="154"/>
      <c r="V540" s="154"/>
      <c r="W540" s="154"/>
      <c r="X540" s="154"/>
      <c r="Y540" s="154"/>
      <c r="Z540" s="154"/>
      <c r="AA540" s="154"/>
      <c r="AB540" s="154"/>
      <c r="AC540" s="154"/>
      <c r="AD540" s="154"/>
      <c r="AE540" s="154"/>
      <c r="AF540" s="154"/>
      <c r="AG540" s="154"/>
      <c r="AH540" s="154"/>
      <c r="AI540" s="155"/>
    </row>
    <row r="541" spans="1:35" s="16" customFormat="1" ht="15.75">
      <c r="A541" s="17"/>
      <c r="B541" s="6"/>
      <c r="C541" s="44"/>
      <c r="P541" s="230"/>
      <c r="Q541" s="154"/>
      <c r="R541" s="154"/>
      <c r="S541" s="154"/>
      <c r="T541" s="154"/>
      <c r="U541" s="154"/>
      <c r="V541" s="154"/>
      <c r="W541" s="154"/>
      <c r="X541" s="154"/>
      <c r="Y541" s="154"/>
      <c r="Z541" s="154"/>
      <c r="AA541" s="154"/>
      <c r="AB541" s="154"/>
      <c r="AC541" s="154"/>
      <c r="AD541" s="154"/>
      <c r="AE541" s="154"/>
      <c r="AF541" s="154"/>
      <c r="AG541" s="154"/>
      <c r="AH541" s="154"/>
      <c r="AI541" s="155"/>
    </row>
    <row r="542" spans="1:35" s="16" customFormat="1" ht="15.75">
      <c r="A542" s="17"/>
      <c r="B542" s="6"/>
      <c r="C542" s="44"/>
      <c r="P542" s="230"/>
      <c r="Q542" s="154"/>
      <c r="R542" s="154"/>
      <c r="S542" s="154"/>
      <c r="T542" s="154"/>
      <c r="U542" s="154"/>
      <c r="V542" s="154"/>
      <c r="W542" s="154"/>
      <c r="X542" s="154"/>
      <c r="Y542" s="154"/>
      <c r="Z542" s="154"/>
      <c r="AA542" s="154"/>
      <c r="AB542" s="154"/>
      <c r="AC542" s="154"/>
      <c r="AD542" s="154"/>
      <c r="AE542" s="154"/>
      <c r="AF542" s="154"/>
      <c r="AG542" s="154"/>
      <c r="AH542" s="154"/>
      <c r="AI542" s="155"/>
    </row>
    <row r="543" spans="1:35" s="16" customFormat="1" ht="15.75">
      <c r="A543" s="17"/>
      <c r="B543" s="6"/>
      <c r="C543" s="44"/>
      <c r="P543" s="230"/>
      <c r="Q543" s="154"/>
      <c r="R543" s="154"/>
      <c r="S543" s="154"/>
      <c r="T543" s="154"/>
      <c r="U543" s="154"/>
      <c r="V543" s="154"/>
      <c r="W543" s="154"/>
      <c r="X543" s="154"/>
      <c r="Y543" s="154"/>
      <c r="Z543" s="154"/>
      <c r="AA543" s="154"/>
      <c r="AB543" s="154"/>
      <c r="AC543" s="154"/>
      <c r="AD543" s="154"/>
      <c r="AE543" s="154"/>
      <c r="AF543" s="154"/>
      <c r="AG543" s="154"/>
      <c r="AH543" s="154"/>
      <c r="AI543" s="155"/>
    </row>
    <row r="544" spans="1:35" s="16" customFormat="1" ht="15.75">
      <c r="A544" s="17"/>
      <c r="B544" s="6"/>
      <c r="C544" s="44"/>
      <c r="P544" s="230"/>
      <c r="Q544" s="154"/>
      <c r="R544" s="154"/>
      <c r="S544" s="154"/>
      <c r="T544" s="154"/>
      <c r="U544" s="154"/>
      <c r="V544" s="154"/>
      <c r="W544" s="154"/>
      <c r="X544" s="154"/>
      <c r="Y544" s="154"/>
      <c r="Z544" s="154"/>
      <c r="AA544" s="154"/>
      <c r="AB544" s="154"/>
      <c r="AC544" s="154"/>
      <c r="AD544" s="154"/>
      <c r="AE544" s="154"/>
      <c r="AF544" s="154"/>
      <c r="AG544" s="154"/>
      <c r="AH544" s="154"/>
      <c r="AI544" s="155"/>
    </row>
    <row r="545" spans="1:35" s="16" customFormat="1" ht="15.75">
      <c r="A545" s="17"/>
      <c r="B545" s="6"/>
      <c r="C545" s="44"/>
      <c r="P545" s="230"/>
      <c r="Q545" s="154"/>
      <c r="R545" s="154"/>
      <c r="S545" s="154"/>
      <c r="T545" s="154"/>
      <c r="U545" s="154"/>
      <c r="V545" s="154"/>
      <c r="W545" s="154"/>
      <c r="X545" s="154"/>
      <c r="Y545" s="154"/>
      <c r="Z545" s="154"/>
      <c r="AA545" s="154"/>
      <c r="AB545" s="154"/>
      <c r="AC545" s="154"/>
      <c r="AD545" s="154"/>
      <c r="AE545" s="154"/>
      <c r="AF545" s="154"/>
      <c r="AG545" s="154"/>
      <c r="AH545" s="154"/>
      <c r="AI545" s="155"/>
    </row>
    <row r="546" spans="1:35" s="16" customFormat="1" ht="15.75">
      <c r="A546" s="17"/>
      <c r="B546" s="6"/>
      <c r="C546" s="44"/>
      <c r="P546" s="230"/>
      <c r="Q546" s="154"/>
      <c r="R546" s="154"/>
      <c r="S546" s="154"/>
      <c r="T546" s="154"/>
      <c r="U546" s="154"/>
      <c r="V546" s="154"/>
      <c r="W546" s="154"/>
      <c r="X546" s="154"/>
      <c r="Y546" s="154"/>
      <c r="Z546" s="154"/>
      <c r="AA546" s="154"/>
      <c r="AB546" s="154"/>
      <c r="AC546" s="154"/>
      <c r="AD546" s="154"/>
      <c r="AE546" s="154"/>
      <c r="AF546" s="154"/>
      <c r="AG546" s="154"/>
      <c r="AH546" s="154"/>
      <c r="AI546" s="155"/>
    </row>
    <row r="547" spans="1:35" s="16" customFormat="1" ht="15.75">
      <c r="A547" s="17"/>
      <c r="B547" s="6"/>
      <c r="C547" s="44"/>
      <c r="P547" s="230"/>
      <c r="Q547" s="154"/>
      <c r="R547" s="154"/>
      <c r="S547" s="154"/>
      <c r="T547" s="154"/>
      <c r="U547" s="154"/>
      <c r="V547" s="154"/>
      <c r="W547" s="154"/>
      <c r="X547" s="154"/>
      <c r="Y547" s="154"/>
      <c r="Z547" s="154"/>
      <c r="AA547" s="154"/>
      <c r="AB547" s="154"/>
      <c r="AC547" s="154"/>
      <c r="AD547" s="154"/>
      <c r="AE547" s="154"/>
      <c r="AF547" s="154"/>
      <c r="AG547" s="154"/>
      <c r="AH547" s="154"/>
      <c r="AI547" s="155"/>
    </row>
    <row r="548" spans="1:35" s="16" customFormat="1" ht="15.75">
      <c r="A548" s="17"/>
      <c r="B548" s="6"/>
      <c r="C548" s="44"/>
      <c r="P548" s="230"/>
      <c r="Q548" s="154"/>
      <c r="R548" s="154"/>
      <c r="S548" s="154"/>
      <c r="T548" s="154"/>
      <c r="U548" s="154"/>
      <c r="V548" s="154"/>
      <c r="W548" s="154"/>
      <c r="X548" s="154"/>
      <c r="Y548" s="154"/>
      <c r="Z548" s="154"/>
      <c r="AA548" s="154"/>
      <c r="AB548" s="154"/>
      <c r="AC548" s="154"/>
      <c r="AD548" s="154"/>
      <c r="AE548" s="154"/>
      <c r="AF548" s="154"/>
      <c r="AG548" s="154"/>
      <c r="AH548" s="154"/>
      <c r="AI548" s="155"/>
    </row>
    <row r="549" spans="1:35" s="16" customFormat="1" ht="15.75">
      <c r="A549" s="17"/>
      <c r="B549" s="6"/>
      <c r="C549" s="44"/>
      <c r="P549" s="230"/>
      <c r="Q549" s="154"/>
      <c r="R549" s="154"/>
      <c r="S549" s="154"/>
      <c r="T549" s="154"/>
      <c r="U549" s="154"/>
      <c r="V549" s="154"/>
      <c r="W549" s="154"/>
      <c r="X549" s="154"/>
      <c r="Y549" s="154"/>
      <c r="Z549" s="154"/>
      <c r="AA549" s="154"/>
      <c r="AB549" s="154"/>
      <c r="AC549" s="154"/>
      <c r="AD549" s="154"/>
      <c r="AE549" s="154"/>
      <c r="AF549" s="154"/>
      <c r="AG549" s="154"/>
      <c r="AH549" s="154"/>
      <c r="AI549" s="155"/>
    </row>
    <row r="550" spans="1:35" s="16" customFormat="1" ht="15.75">
      <c r="A550" s="17"/>
      <c r="B550" s="6"/>
      <c r="C550" s="44"/>
      <c r="P550" s="230"/>
      <c r="Q550" s="154"/>
      <c r="R550" s="154"/>
      <c r="S550" s="154"/>
      <c r="T550" s="154"/>
      <c r="U550" s="154"/>
      <c r="V550" s="154"/>
      <c r="W550" s="154"/>
      <c r="X550" s="154"/>
      <c r="Y550" s="154"/>
      <c r="Z550" s="154"/>
      <c r="AA550" s="154"/>
      <c r="AB550" s="154"/>
      <c r="AC550" s="154"/>
      <c r="AD550" s="154"/>
      <c r="AE550" s="154"/>
      <c r="AF550" s="154"/>
      <c r="AG550" s="154"/>
      <c r="AH550" s="154"/>
      <c r="AI550" s="155"/>
    </row>
    <row r="551" spans="1:35" s="16" customFormat="1" ht="15.75">
      <c r="A551" s="17"/>
      <c r="B551" s="6"/>
      <c r="C551" s="44"/>
      <c r="P551" s="230"/>
      <c r="Q551" s="154"/>
      <c r="R551" s="154"/>
      <c r="S551" s="154"/>
      <c r="T551" s="154"/>
      <c r="U551" s="154"/>
      <c r="V551" s="154"/>
      <c r="W551" s="154"/>
      <c r="X551" s="154"/>
      <c r="Y551" s="154"/>
      <c r="Z551" s="154"/>
      <c r="AA551" s="154"/>
      <c r="AB551" s="154"/>
      <c r="AC551" s="154"/>
      <c r="AD551" s="154"/>
      <c r="AE551" s="154"/>
      <c r="AF551" s="154"/>
      <c r="AG551" s="154"/>
      <c r="AH551" s="154"/>
      <c r="AI551" s="155"/>
    </row>
    <row r="552" spans="1:35" s="16" customFormat="1" ht="15.75">
      <c r="A552" s="17"/>
      <c r="B552" s="6"/>
      <c r="C552" s="44"/>
      <c r="P552" s="230"/>
      <c r="Q552" s="154"/>
      <c r="R552" s="154"/>
      <c r="S552" s="154"/>
      <c r="T552" s="154"/>
      <c r="U552" s="154"/>
      <c r="V552" s="154"/>
      <c r="W552" s="154"/>
      <c r="X552" s="154"/>
      <c r="Y552" s="154"/>
      <c r="Z552" s="154"/>
      <c r="AA552" s="154"/>
      <c r="AB552" s="154"/>
      <c r="AC552" s="154"/>
      <c r="AD552" s="154"/>
      <c r="AE552" s="154"/>
      <c r="AF552" s="154"/>
      <c r="AG552" s="154"/>
      <c r="AH552" s="154"/>
      <c r="AI552" s="155"/>
    </row>
    <row r="553" spans="1:35" s="16" customFormat="1" ht="15.75">
      <c r="A553" s="17"/>
      <c r="B553" s="6"/>
      <c r="C553" s="44"/>
      <c r="P553" s="230"/>
      <c r="Q553" s="154"/>
      <c r="R553" s="154"/>
      <c r="S553" s="154"/>
      <c r="T553" s="154"/>
      <c r="U553" s="154"/>
      <c r="V553" s="154"/>
      <c r="W553" s="154"/>
      <c r="X553" s="154"/>
      <c r="Y553" s="154"/>
      <c r="Z553" s="154"/>
      <c r="AA553" s="154"/>
      <c r="AB553" s="154"/>
      <c r="AC553" s="154"/>
      <c r="AD553" s="154"/>
      <c r="AE553" s="154"/>
      <c r="AF553" s="154"/>
      <c r="AG553" s="154"/>
      <c r="AH553" s="154"/>
      <c r="AI553" s="155"/>
    </row>
    <row r="554" spans="1:35" s="16" customFormat="1" ht="15.75">
      <c r="A554" s="17"/>
      <c r="B554" s="6"/>
      <c r="C554" s="44"/>
      <c r="P554" s="230"/>
      <c r="Q554" s="154"/>
      <c r="R554" s="154"/>
      <c r="S554" s="154"/>
      <c r="T554" s="154"/>
      <c r="U554" s="154"/>
      <c r="V554" s="154"/>
      <c r="W554" s="154"/>
      <c r="X554" s="154"/>
      <c r="Y554" s="154"/>
      <c r="Z554" s="154"/>
      <c r="AA554" s="154"/>
      <c r="AB554" s="154"/>
      <c r="AC554" s="154"/>
      <c r="AD554" s="154"/>
      <c r="AE554" s="154"/>
      <c r="AF554" s="154"/>
      <c r="AG554" s="154"/>
      <c r="AH554" s="154"/>
      <c r="AI554" s="155"/>
    </row>
    <row r="555" spans="1:35" s="16" customFormat="1" ht="15.75">
      <c r="A555" s="17"/>
      <c r="B555" s="6"/>
      <c r="C555" s="44"/>
      <c r="P555" s="230"/>
      <c r="Q555" s="154"/>
      <c r="R555" s="154"/>
      <c r="S555" s="154"/>
      <c r="T555" s="154"/>
      <c r="U555" s="154"/>
      <c r="V555" s="154"/>
      <c r="W555" s="154"/>
      <c r="X555" s="154"/>
      <c r="Y555" s="154"/>
      <c r="Z555" s="154"/>
      <c r="AA555" s="154"/>
      <c r="AB555" s="154"/>
      <c r="AC555" s="154"/>
      <c r="AD555" s="154"/>
      <c r="AE555" s="154"/>
      <c r="AF555" s="154"/>
      <c r="AG555" s="154"/>
      <c r="AH555" s="154"/>
      <c r="AI555" s="155"/>
    </row>
    <row r="556" spans="1:35" s="16" customFormat="1" ht="15.75">
      <c r="A556" s="17"/>
      <c r="B556" s="6"/>
      <c r="C556" s="44"/>
      <c r="P556" s="230"/>
      <c r="Q556" s="154"/>
      <c r="R556" s="154"/>
      <c r="S556" s="154"/>
      <c r="T556" s="154"/>
      <c r="U556" s="154"/>
      <c r="V556" s="154"/>
      <c r="W556" s="154"/>
      <c r="X556" s="154"/>
      <c r="Y556" s="154"/>
      <c r="Z556" s="154"/>
      <c r="AA556" s="154"/>
      <c r="AB556" s="154"/>
      <c r="AC556" s="154"/>
      <c r="AD556" s="154"/>
      <c r="AE556" s="154"/>
      <c r="AF556" s="154"/>
      <c r="AG556" s="154"/>
      <c r="AH556" s="154"/>
      <c r="AI556" s="155"/>
    </row>
  </sheetData>
  <sheetProtection/>
  <mergeCells count="38">
    <mergeCell ref="Z8:AI8"/>
    <mergeCell ref="Z9:AC10"/>
    <mergeCell ref="AD9:AD12"/>
    <mergeCell ref="AE9:AE12"/>
    <mergeCell ref="AF9:AI9"/>
    <mergeCell ref="E10:E12"/>
    <mergeCell ref="B9:B12"/>
    <mergeCell ref="F10:G10"/>
    <mergeCell ref="AF10:AF12"/>
    <mergeCell ref="O9:O12"/>
    <mergeCell ref="I9:N9"/>
    <mergeCell ref="K1:N1"/>
    <mergeCell ref="M10:M12"/>
    <mergeCell ref="A7:M7"/>
    <mergeCell ref="F11:F12"/>
    <mergeCell ref="G11:G12"/>
    <mergeCell ref="K11:K12"/>
    <mergeCell ref="J10:J12"/>
    <mergeCell ref="N11:N12"/>
    <mergeCell ref="K10:L10"/>
    <mergeCell ref="H10:H12"/>
    <mergeCell ref="P183:P213"/>
    <mergeCell ref="P2:P37"/>
    <mergeCell ref="P38:P72"/>
    <mergeCell ref="P73:P102"/>
    <mergeCell ref="P103:P123"/>
    <mergeCell ref="P124:P151"/>
    <mergeCell ref="P152:P182"/>
    <mergeCell ref="K4:O4"/>
    <mergeCell ref="K5:O5"/>
    <mergeCell ref="M213:N213"/>
    <mergeCell ref="A213:D213"/>
    <mergeCell ref="L11:L12"/>
    <mergeCell ref="I10:I12"/>
    <mergeCell ref="A9:A12"/>
    <mergeCell ref="C9:C12"/>
    <mergeCell ref="D9:H9"/>
    <mergeCell ref="D10:D12"/>
  </mergeCells>
  <printOptions horizontalCentered="1"/>
  <pageMargins left="0.1968503937007874" right="0.1968503937007874" top="0.46" bottom="0.41" header="0.26" footer="0.2362204724409449"/>
  <pageSetup fitToHeight="7" fitToWidth="1" horizontalDpi="600" verticalDpi="600" orientation="landscape" paperSize="9" scale="41" r:id="rId1"/>
  <headerFooter alignWithMargins="0">
    <oddFooter xml:space="preserve">&amp;R&amp;20 Сторінка  &amp;P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User</cp:lastModifiedBy>
  <cp:lastPrinted>2018-02-02T09:11:06Z</cp:lastPrinted>
  <dcterms:created xsi:type="dcterms:W3CDTF">2014-01-17T10:52:16Z</dcterms:created>
  <dcterms:modified xsi:type="dcterms:W3CDTF">2018-02-02T09:11:15Z</dcterms:modified>
  <cp:category/>
  <cp:version/>
  <cp:contentType/>
  <cp:contentStatus/>
</cp:coreProperties>
</file>