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340" tabRatio="636" firstSheet="8" activeTab="14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6.2 Інша інф. п.9" sheetId="9" r:id="rId9"/>
    <sheet name="таб1 до пояс (Звіт)" sheetId="10" r:id="rId10"/>
    <sheet name="таб 2 до пояс (Звіт)" sheetId="11" r:id="rId11"/>
    <sheet name="таб 3,4 до пояс (Звіт)" sheetId="12" r:id="rId12"/>
    <sheet name="таб 5 до пояс (Звіт) " sheetId="13" r:id="rId13"/>
    <sheet name="таб 6 до пояс  (Звіт)" sheetId="14" r:id="rId14"/>
    <sheet name="розшифровки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Excel_BuiltIn_Print_Area" localSheetId="7">'6.2. Інша інфо_2'!$A$1:$AJ$59</definedName>
    <definedName name="Excel_BuiltIn_Print_Area" localSheetId="3">'ІІІ. Рух грош. коштів'!$A$1:$G$102</definedName>
    <definedName name="Excel_BuiltIn_Print_Area" localSheetId="14">'розшифровки'!$A$1:$E$95</definedName>
    <definedName name="Excel_BuiltIn_Print_Area" localSheetId="10">'таб 2 до пояс (Звіт)'!$A$1:$I$30</definedName>
    <definedName name="Excel_BuiltIn_Print_Area" localSheetId="11">'таб 3,4 до пояс (Звіт)'!$A$1:$B$33</definedName>
    <definedName name="Excel_BuiltIn_Print_Area" localSheetId="13">'таб 6 до пояс  (Звіт)'!$A$1:$F$21</definedName>
    <definedName name="Excel_BuiltIn_Print_Area" localSheetId="9">'таб1 до пояс (Звіт)'!$A$1:$H$19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пок.'!$32:$34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Коефіцієнти'!$A$1:$G$27</definedName>
    <definedName name="_xlnm.Print_Area" localSheetId="6">'6.1. Інша інфо_1'!$A$1:$O$69</definedName>
    <definedName name="_xlnm.Print_Area" localSheetId="1">'I. Фін результат'!$A$1:$H$105</definedName>
    <definedName name="_xlnm.Print_Area" localSheetId="4">'IV. Кап. інвестиції'!$A$1:$G$19</definedName>
    <definedName name="_xlnm.Print_Area" localSheetId="2">'ІІ. Розр. з бюджетом'!$A$1:$G$53</definedName>
    <definedName name="_xlnm.Print_Area" localSheetId="3">'ІІІ. Рух грош. коштів'!$A$1:$H$103</definedName>
    <definedName name="_xlnm.Print_Area" localSheetId="0">'Осн. фін. пок.'!$A$1:$G$179</definedName>
    <definedName name="_xlnm.Print_Area" localSheetId="14">'розшифровки'!$A$1:$E$95</definedName>
    <definedName name="_xlnm.Print_Area" localSheetId="10">'таб 2 до пояс (Звіт)'!$A$1:$I$30</definedName>
    <definedName name="_xlnm.Print_Area" localSheetId="11">'таб 3,4 до пояс (Звіт)'!$A$1:$B$33</definedName>
    <definedName name="_xlnm.Print_Area" localSheetId="13">'таб 6 до пояс  (Звіт)'!$A$1:$F$21</definedName>
    <definedName name="_xlnm.Print_Area" localSheetId="9">'таб1 до пояс (Звіт)'!$A$1:$H$19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#N/A</definedName>
    <definedName name="ш">#REF!</definedName>
  </definedNames>
  <calcPr fullCalcOnLoad="1" fullPrecision="0"/>
</workbook>
</file>

<file path=xl/sharedStrings.xml><?xml version="1.0" encoding="utf-8"?>
<sst xmlns="http://schemas.openxmlformats.org/spreadsheetml/2006/main" count="1184" uniqueCount="737">
  <si>
    <t>Рік</t>
  </si>
  <si>
    <t>Код</t>
  </si>
  <si>
    <t xml:space="preserve">Підприємство  </t>
  </si>
  <si>
    <t>КП “Міськводоканал”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</si>
  <si>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</si>
  <si>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</si>
  <si>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</si>
  <si>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</si>
  <si>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</si>
  <si>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 Суми</t>
  </si>
  <si>
    <t>за КОАТУУ</t>
  </si>
  <si>
    <r>
      <rPr>
        <sz val="14"/>
        <rFont val="Times New Roman"/>
        <family val="1"/>
      </rPr>
      <t xml:space="preserve">Суб'єкт управління </t>
    </r>
    <r>
      <rPr>
        <b/>
        <i/>
        <sz val="14"/>
        <rFont val="Times New Roman"/>
        <family val="1"/>
      </rPr>
      <t xml:space="preserve"> </t>
    </r>
  </si>
  <si>
    <t>Департамент інфраструктури міста СМР</t>
  </si>
  <si>
    <t>за СПОДУ</t>
  </si>
  <si>
    <t xml:space="preserve">Галузь     </t>
  </si>
  <si>
    <t>Промисловість</t>
  </si>
  <si>
    <t>за ЗКГНГ</t>
  </si>
  <si>
    <t xml:space="preserve">Вид економічної діяльності    </t>
  </si>
  <si>
    <t>Збір, очищення та постачання води. Каналізація, відведення й очищення стічних вод</t>
  </si>
  <si>
    <t xml:space="preserve">за  КВЕД  </t>
  </si>
  <si>
    <t>36.00 та 37.00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</si>
  <si>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</si>
  <si>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</si>
  <si>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</si>
  <si>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</si>
  <si>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</si>
  <si>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</si>
  <si>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 Суми , вул. Білопільський шлях, 9</t>
  </si>
  <si>
    <t xml:space="preserve">Телефон </t>
  </si>
  <si>
    <t>700-181</t>
  </si>
  <si>
    <t xml:space="preserve">Прізвище та ініціали керівника  </t>
  </si>
  <si>
    <t>САГАЧ Анатолій Григорович</t>
  </si>
  <si>
    <t>ЗВІТ</t>
  </si>
  <si>
    <t xml:space="preserve">про виконання фінансового плану </t>
  </si>
  <si>
    <t xml:space="preserve"> 2021 рік</t>
  </si>
  <si>
    <t>Основні фінансові показники</t>
  </si>
  <si>
    <t>Найменування показника</t>
  </si>
  <si>
    <t xml:space="preserve">Код рядка </t>
  </si>
  <si>
    <t>Факт за аналогічний період минулого року</t>
  </si>
  <si>
    <t>Звітний період (рік )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</si>
  <si>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</si>
  <si>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</si>
  <si>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</si>
  <si>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</si>
  <si>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</si>
  <si>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</si>
  <si>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</si>
  <si>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</si>
  <si>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</si>
  <si>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</si>
  <si>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</si>
  <si>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</si>
  <si>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</si>
  <si>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</si>
  <si>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</si>
  <si>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</si>
  <si>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</si>
  <si>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</si>
  <si>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</si>
  <si>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</si>
  <si>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</si>
  <si>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</si>
  <si>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</si>
  <si>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</si>
  <si>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</si>
  <si>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</si>
  <si>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</si>
  <si>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</si>
  <si>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</si>
  <si>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</si>
  <si>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</si>
  <si>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</si>
  <si>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</si>
  <si>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</si>
  <si>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</si>
  <si>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</si>
  <si>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</si>
  <si>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</si>
  <si>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</si>
  <si>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</si>
  <si>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</si>
  <si>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</si>
  <si>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</si>
  <si>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</si>
  <si>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</si>
  <si>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</si>
  <si>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</si>
  <si>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</si>
  <si>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</si>
  <si>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</si>
  <si>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</si>
  <si>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</si>
  <si>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</si>
  <si>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</si>
  <si>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</si>
  <si>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</si>
  <si>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</si>
  <si>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</si>
  <si>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</si>
  <si>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</si>
  <si>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</si>
  <si>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</si>
  <si>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</si>
  <si>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</si>
  <si>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</si>
  <si>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</si>
  <si>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</si>
  <si>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</si>
  <si>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</si>
  <si>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</si>
  <si>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</si>
  <si>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</si>
  <si>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</si>
  <si>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</si>
  <si>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</si>
  <si>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</si>
  <si>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</si>
  <si>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</si>
  <si>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</si>
  <si>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</si>
  <si>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</si>
  <si>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</si>
  <si>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</si>
  <si>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</si>
  <si>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</si>
  <si>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</si>
  <si>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</si>
  <si>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</si>
  <si>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</si>
  <si>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</si>
  <si>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</si>
  <si>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</si>
  <si>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</si>
  <si>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</si>
  <si>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</si>
  <si>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</si>
  <si>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</si>
  <si>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</si>
  <si>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</si>
  <si>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</si>
  <si>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</si>
  <si>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</si>
  <si>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</si>
  <si>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</si>
  <si>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</si>
  <si>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</si>
  <si>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</si>
  <si>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</si>
  <si>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</si>
  <si>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</si>
  <si>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</si>
  <si>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</si>
  <si>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</si>
  <si>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</si>
  <si>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</si>
  <si>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</si>
  <si>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</si>
  <si>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</si>
  <si>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</si>
  <si>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</si>
  <si>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</si>
  <si>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</si>
  <si>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</si>
  <si>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</si>
  <si>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</si>
  <si>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</si>
  <si>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</si>
  <si>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</si>
  <si>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</si>
  <si>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</si>
  <si>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</si>
  <si>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</si>
  <si>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</si>
  <si>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</si>
  <si>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</si>
  <si>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</si>
  <si>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</si>
  <si>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</si>
  <si>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color indexed="8"/>
        <rFont val="Times New Roman"/>
        <family val="1"/>
      </rPr>
      <t xml:space="preserve">Середня кількість працівників </t>
    </r>
    <r>
      <rPr>
        <sz val="14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</rPr>
      <t>, у тому числі:</t>
    </r>
  </si>
  <si>
    <t>8000</t>
  </si>
  <si>
    <t>керівник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</si>
  <si>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</si>
  <si>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</si>
  <si>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</si>
  <si>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</si>
  <si>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</si>
  <si>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</si>
  <si>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</si>
  <si>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</si>
  <si>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</si>
  <si>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адміністративно-управлінський працівник</t>
  </si>
  <si>
    <t>2022</t>
  </si>
  <si>
    <t>працівник</t>
  </si>
  <si>
    <t>2023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</si>
  <si>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          </t>
    </r>
    <r>
      <rPr>
        <b/>
        <u val="single"/>
        <sz val="14"/>
        <rFont val="Times New Roman"/>
        <family val="1"/>
      </rPr>
      <t xml:space="preserve"> Директор</t>
    </r>
  </si>
  <si>
    <t>_____________________</t>
  </si>
  <si>
    <t>Анатолій САГАЧ</t>
  </si>
  <si>
    <t xml:space="preserve"> (посада)</t>
  </si>
  <si>
    <t>(підпис)</t>
  </si>
  <si>
    <t xml:space="preserve">  (ініціали, прізвище) </t>
  </si>
  <si>
    <t>Звітний період ( рік )</t>
  </si>
  <si>
    <t>пояснення та обґрунтування відхилення від запланованого рівня        доходів/витрат</t>
  </si>
  <si>
    <t>Доходи і витрати (деталізація)</t>
  </si>
  <si>
    <t>Недостатня сплата споживачів за послуги водопостачання і водовідведення</t>
  </si>
  <si>
    <t>недоотримано дохід, відповідно і витрати</t>
  </si>
  <si>
    <t>Витрати на сировину та основні матеріали</t>
  </si>
  <si>
    <t>економія ресурсів</t>
  </si>
  <si>
    <t xml:space="preserve">Витрати на паливо </t>
  </si>
  <si>
    <t>за рахунок підвищення ціни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</si>
  <si>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</si>
  <si>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</si>
  <si>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</si>
  <si>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</si>
  <si>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за рахунок збільшення наданих послуг</t>
  </si>
  <si>
    <t>Валовий прибуток (збиток)</t>
  </si>
  <si>
    <t>(    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</si>
  <si>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</si>
  <si>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</si>
  <si>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</si>
  <si>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</si>
  <si>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</si>
  <si>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</si>
  <si>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</si>
  <si>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</si>
  <si>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організаційно-технічні послуги ( банків та фінансових установ)</t>
  </si>
  <si>
    <t>консультаційні та інформаційні послуги</t>
  </si>
  <si>
    <t>юридичні послуги ( судових органів)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</si>
  <si>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</si>
  <si>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</si>
  <si>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 участь у семінарах)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</si>
  <si>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</si>
  <si>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</si>
  <si>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</si>
  <si>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</si>
  <si>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</si>
  <si>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</si>
  <si>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</si>
  <si>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</si>
  <si>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</si>
  <si>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</si>
  <si>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</si>
  <si>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</si>
  <si>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</si>
  <si>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отримання фінансової допомоги з міського бюджету</t>
  </si>
  <si>
    <t>Інші операційні витрати, усього, у тому числі:</t>
  </si>
  <si>
    <t>зменшення штрафів, пені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</si>
  <si>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</si>
  <si>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</si>
  <si>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</si>
  <si>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</si>
  <si>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</si>
  <si>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</si>
  <si>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</si>
  <si>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</si>
  <si>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</si>
  <si>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</si>
  <si>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</si>
  <si>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</si>
  <si>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</si>
  <si>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</si>
  <si>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</si>
  <si>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</si>
  <si>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</si>
  <si>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</si>
  <si>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</si>
  <si>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</si>
  <si>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</si>
  <si>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               </t>
    </r>
    <r>
      <rPr>
        <b/>
        <u val="single"/>
        <sz val="14"/>
        <rFont val="Times New Roman"/>
        <family val="1"/>
      </rPr>
      <t xml:space="preserve">    Директор</t>
    </r>
  </si>
  <si>
    <t>__________________</t>
  </si>
  <si>
    <t xml:space="preserve">                   (підпис)</t>
  </si>
  <si>
    <t xml:space="preserve">  (ініціали, прізвище)    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</si>
  <si>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</si>
  <si>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</si>
  <si>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</si>
  <si>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рентна плата за спецводокористування</t>
  </si>
  <si>
    <t>податок на доходи фізичних осіб</t>
  </si>
  <si>
    <t>інші податки та збори (військовий збір)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</si>
  <si>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</si>
  <si>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</si>
  <si>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</si>
  <si>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(розшифрувати):</t>
  </si>
  <si>
    <t>збір за забруднення</t>
  </si>
  <si>
    <t>частина чистого прибутку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</si>
  <si>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</si>
  <si>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</si>
  <si>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</si>
  <si>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</si>
  <si>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</si>
  <si>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</si>
  <si>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</si>
  <si>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               </t>
    </r>
    <r>
      <rPr>
        <b/>
        <u val="single"/>
        <sz val="14"/>
        <rFont val="Times New Roman"/>
        <family val="1"/>
      </rPr>
      <t xml:space="preserve"> Директор </t>
    </r>
  </si>
  <si>
    <t xml:space="preserve">                                 (посада)</t>
  </si>
  <si>
    <t xml:space="preserve">                  (підпис)</t>
  </si>
  <si>
    <t xml:space="preserve">(ініціали, прізвище)    </t>
  </si>
  <si>
    <t>ІІІ. Рух грошових коштів (за прямим методом)</t>
  </si>
  <si>
    <t>Код рядка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</si>
  <si>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</si>
  <si>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</si>
  <si>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</si>
  <si>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</si>
  <si>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</si>
  <si>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(розшифрувати):</t>
  </si>
  <si>
    <t>3040/1</t>
  </si>
  <si>
    <t>3040/2</t>
  </si>
  <si>
    <t>3040/3</t>
  </si>
  <si>
    <t>відпустка ЧАЕС, військовий збір</t>
  </si>
  <si>
    <t>3040/4</t>
  </si>
  <si>
    <t>3040/6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</si>
  <si>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</si>
  <si>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</si>
  <si>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</si>
  <si>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</si>
  <si>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</si>
  <si>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</si>
  <si>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</si>
  <si>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</si>
  <si>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</si>
  <si>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</si>
  <si>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</si>
  <si>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</si>
  <si>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зобов’язання з податків і зборів (розшифрувати)</t>
  </si>
  <si>
    <t>3156/1</t>
  </si>
  <si>
    <t>3156/2</t>
  </si>
  <si>
    <t>Інші платежі (розшифрувати)</t>
  </si>
  <si>
    <t>військовий збір</t>
  </si>
  <si>
    <t>3157/1</t>
  </si>
  <si>
    <t>3157/2</t>
  </si>
  <si>
    <t>податок на землю</t>
  </si>
  <si>
    <t>3157/3</t>
  </si>
  <si>
    <t>оренда</t>
  </si>
  <si>
    <t>3157/4</t>
  </si>
  <si>
    <t>3157/5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</si>
  <si>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</si>
  <si>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</si>
  <si>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</si>
  <si>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</si>
  <si>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</si>
  <si>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</si>
  <si>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</si>
  <si>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</si>
  <si>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</si>
  <si>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</si>
  <si>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 xml:space="preserve">Інші надходження (кошти із спеціального фонду) 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</si>
  <si>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</si>
  <si>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</si>
  <si>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</si>
  <si>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</si>
  <si>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</si>
  <si>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</si>
  <si>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</si>
  <si>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</si>
  <si>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</si>
  <si>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</si>
  <si>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</si>
  <si>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</si>
  <si>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</si>
  <si>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</si>
  <si>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Інші надходження (розшифрувати) 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</si>
  <si>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</si>
  <si>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</si>
  <si>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</si>
  <si>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</si>
  <si>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</si>
  <si>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</si>
  <si>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</si>
  <si>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</si>
  <si>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Непогашений короткостроковий кредит (овердрафт ) на кінець періоду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</si>
  <si>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               </t>
    </r>
    <r>
      <rPr>
        <b/>
        <u val="single"/>
        <sz val="14"/>
        <rFont val="Times New Roman"/>
        <family val="1"/>
      </rPr>
      <t xml:space="preserve">Директор </t>
    </r>
  </si>
  <si>
    <t xml:space="preserve">IV. Капітальні інвестиції </t>
  </si>
  <si>
    <t>Капітальні інвестиції, усього,
у тому числі: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</si>
  <si>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               Директор </t>
    </r>
  </si>
  <si>
    <t>Оптимальне значення</t>
  </si>
  <si>
    <t xml:space="preserve">Звітний період ( рік ) </t>
  </si>
  <si>
    <t>Примітки</t>
  </si>
  <si>
    <t>план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</si>
  <si>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</si>
  <si>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</si>
  <si>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</si>
  <si>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</si>
  <si>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</si>
  <si>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</si>
  <si>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</si>
  <si>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</si>
  <si>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</si>
  <si>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</si>
  <si>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</si>
  <si>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</si>
  <si>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</si>
  <si>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</si>
  <si>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</si>
  <si>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</si>
  <si>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</si>
  <si>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</si>
  <si>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</si>
  <si>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</si>
  <si>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</si>
  <si>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</si>
  <si>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</si>
  <si>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</si>
  <si>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_______________</t>
  </si>
  <si>
    <t>Інформація</t>
  </si>
  <si>
    <t>до звіту про виконання фінансового плану за 2021 рік</t>
  </si>
  <si>
    <t>КП “Міськводоканал” СМР</t>
  </si>
  <si>
    <t>(найменування підприємства)</t>
  </si>
  <si>
    <t xml:space="preserve">      1. Дані про підприємство, персонал та витрати на оплату праці*</t>
  </si>
  <si>
    <t xml:space="preserve">      Загальна інформація про підприємство (резюме)</t>
  </si>
  <si>
    <t xml:space="preserve">Факт
відповідного періоду минулого року </t>
  </si>
  <si>
    <t xml:space="preserve">План
звітного періоду </t>
  </si>
  <si>
    <t xml:space="preserve">Факт
звітного періоду </t>
  </si>
  <si>
    <r>
      <rPr>
        <sz val="14"/>
        <rFont val="Times New Roman"/>
        <family val="1"/>
      </rP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</si>
  <si>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sz val="14"/>
        <rFont val="Times New Roman"/>
        <family val="1"/>
      </rP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</si>
  <si>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які 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</si>
  <si>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</si>
  <si>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</si>
  <si>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</si>
  <si>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</si>
  <si>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</si>
  <si>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</si>
  <si>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</si>
  <si>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</si>
  <si>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2. Інформація про бізнес підприємства (код рядка 1000 фінансового плану)</t>
  </si>
  <si>
    <t>Найменування видів діяльності за КВЕД</t>
  </si>
  <si>
    <t>План 2021 р.</t>
  </si>
  <si>
    <t>Факт 2021 р.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</si>
  <si>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</si>
  <si>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</si>
  <si>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</si>
  <si>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наданих послуг, одиниця виміру</t>
  </si>
  <si>
    <t>ціна одиниці     (вартість  продукції/     наданих послуг), грн</t>
  </si>
  <si>
    <t>кількість продукції/      наданих послуг, одиниця виміру</t>
  </si>
  <si>
    <t>кількість продукції/  наданих послуг, одиниця виміру</t>
  </si>
  <si>
    <t>ціна одиниці     (вартість  продукції/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</si>
  <si>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</si>
  <si>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наданих послуг </t>
  </si>
  <si>
    <t>зміна ціни одиниці  (вартості продукції/     наданих послуг)</t>
  </si>
  <si>
    <t>Централізоване водопостачання</t>
  </si>
  <si>
    <t>Централізоване водовідведення</t>
  </si>
  <si>
    <t>Інші види діяльності</t>
  </si>
  <si>
    <t xml:space="preserve">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</si>
  <si>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</si>
  <si>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</si>
  <si>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</si>
  <si>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</si>
  <si>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</si>
  <si>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</si>
  <si>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</si>
  <si>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</si>
  <si>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</si>
  <si>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</si>
  <si>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</si>
  <si>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</si>
  <si>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</si>
  <si>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</si>
  <si>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</si>
  <si>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</si>
  <si>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</si>
  <si>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</si>
  <si>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</rPr>
      <t>у тому числі:</t>
    </r>
    <r>
      <rPr>
        <i/>
        <sz val="14"/>
        <rFont val="Times New Roman"/>
        <family val="1"/>
      </rPr>
      <t xml:space="preserve">  короткострокові кредити банків</t>
    </r>
  </si>
  <si>
    <t>Інші фінансові зобов'язання, усього</t>
  </si>
  <si>
    <t>5.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</si>
  <si>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</si>
  <si>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</si>
  <si>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</si>
  <si>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</si>
  <si>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</si>
  <si>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</si>
  <si>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</si>
  <si>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 xml:space="preserve">факт
відповідного періоду
минулого року </t>
  </si>
  <si>
    <t xml:space="preserve">план
звітного періоду </t>
  </si>
  <si>
    <t xml:space="preserve">факт
звітного періоду </t>
  </si>
  <si>
    <t>ГАЗ 3110 ВМ 0492</t>
  </si>
  <si>
    <t>службові поїздки керівників</t>
  </si>
  <si>
    <t>RENAULT ВМ 5507</t>
  </si>
  <si>
    <t>ГАЗ 31105 ВМ 1191</t>
  </si>
  <si>
    <t>6.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</si>
  <si>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</si>
  <si>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</si>
  <si>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</si>
  <si>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</si>
  <si>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</si>
  <si>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7.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</si>
  <si>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</si>
  <si>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</si>
  <si>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</si>
  <si>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</si>
  <si>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(амортизаційні відрахування)</t>
  </si>
  <si>
    <t>Власні кошти (прибуток який залишається в розпорядженні підприємства)</t>
  </si>
  <si>
    <t>Інші джерела (розшифрувати)</t>
  </si>
  <si>
    <t>придбання (виготовлення) основних засобів: меблі та приладдя; машини, обладнання.</t>
  </si>
  <si>
    <t>придбання (створення) нематеріальних активів: програмне забезпечення та бази даних</t>
  </si>
  <si>
    <t>Відсоток</t>
  </si>
  <si>
    <t>8. Капітальне будівництво (рядок 4010 таблиці 4)</t>
  </si>
  <si>
    <t xml:space="preserve">Найменування об’єкта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</si>
  <si>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</si>
  <si>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</si>
  <si>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</si>
  <si>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</si>
  <si>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 xml:space="preserve">Звітний період 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</si>
  <si>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</si>
  <si>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</si>
  <si>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</si>
  <si>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</si>
  <si>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</si>
  <si>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</si>
  <si>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</si>
  <si>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9. Використання бюджетних коштів</t>
  </si>
  <si>
    <t>тис. грн (з ПДВ )</t>
  </si>
  <si>
    <t xml:space="preserve">Факт відповідного періоду минулого року </t>
  </si>
  <si>
    <t xml:space="preserve">План звітного періоду </t>
  </si>
  <si>
    <t>Факт звітного періоду</t>
  </si>
  <si>
    <t>державний бюджет</t>
  </si>
  <si>
    <t xml:space="preserve">     надходження коштів (розшифрувати)</t>
  </si>
  <si>
    <t xml:space="preserve">     використання коштів (розшифрувати)</t>
  </si>
  <si>
    <t>обласний бюджет</t>
  </si>
  <si>
    <t>міський бюджет</t>
  </si>
  <si>
    <t>КПКВК 1217670 "Внески до статутного капіталу суб'єктів господарювання"</t>
  </si>
  <si>
    <t>КПКВК 1216013 "Забезпечення діяльності водопровідно-каналізаційного господарства" ( загальний)</t>
  </si>
  <si>
    <t>КПКВК 1216013 "Забезпечення діяльності водопровідно-каналізаційного господарства" ( спеціальний )</t>
  </si>
  <si>
    <t>КПКВК 1216020 «Забезпечення функціонування підприємств, установ та організацій, що виробляють, виконують та/або надають житлово-комунальні послуги»</t>
  </si>
  <si>
    <t xml:space="preserve">КПКВК 1218340 «Природоохоронні заходи за рахунок цільових фондів» </t>
  </si>
  <si>
    <t>3210 "Придбання обладнання і предметів довгострокового користування"</t>
  </si>
  <si>
    <t>3210 "Капітальне будівництво"</t>
  </si>
  <si>
    <t>3210 "Капітальний ремонт"</t>
  </si>
  <si>
    <t>2610 "Охорона водозаборів"</t>
  </si>
  <si>
    <t>2610 "Оплата електроенргії"</t>
  </si>
  <si>
    <t>2610 "Предмети, матеріали, обладнання та інвентар"</t>
  </si>
  <si>
    <t>2610 "Оплата послуг крім комунальних (поточний ремонт)</t>
  </si>
  <si>
    <t>2610 "Оплата податків, інші поточні видатки”</t>
  </si>
  <si>
    <t>2281 "Дослідження і розробки, окремі заходи по реалізації державних (регіональних) програм"</t>
  </si>
  <si>
    <t>3210 " Реконструкція та реставрація інших об’єктів”</t>
  </si>
  <si>
    <r>
      <rPr>
        <b/>
        <u val="single"/>
        <sz val="14"/>
        <rFont val="Times New Roman"/>
        <family val="1"/>
      </rPr>
      <t>Керівник</t>
    </r>
    <r>
      <rPr>
        <u val="single"/>
        <sz val="14"/>
        <rFont val="Times New Roman"/>
        <family val="1"/>
      </rPr>
      <t xml:space="preserve">              </t>
    </r>
    <r>
      <rPr>
        <b/>
        <u val="single"/>
        <sz val="14"/>
        <rFont val="Times New Roman"/>
        <family val="1"/>
      </rPr>
      <t>Директор</t>
    </r>
  </si>
  <si>
    <t>______________</t>
  </si>
  <si>
    <t xml:space="preserve">                                (посада)</t>
  </si>
  <si>
    <t xml:space="preserve">придбання (створення) основних засобів (розшифрувати) </t>
  </si>
  <si>
    <t>у тому числі: цільове фінансування</t>
  </si>
  <si>
    <t>незначне відхилення</t>
  </si>
  <si>
    <t>зростання вартості послуг</t>
  </si>
  <si>
    <t>незначне зменшення</t>
  </si>
  <si>
    <t>збільшення вартості послуг</t>
  </si>
  <si>
    <t>за рахунок зменшення чисельності</t>
  </si>
  <si>
    <t>за рахунок придбання нового обладнання</t>
  </si>
  <si>
    <t>недоотримання бюджетного фінансування</t>
  </si>
  <si>
    <t>збільшення тарифів на паливо та електроенергію</t>
  </si>
  <si>
    <t xml:space="preserve">збільшення </t>
  </si>
  <si>
    <t>Таблиця 1</t>
  </si>
  <si>
    <t>до пояснювальної записки</t>
  </si>
  <si>
    <t>Доходи підприємства</t>
  </si>
  <si>
    <t>Види доходів</t>
  </si>
  <si>
    <t>Фактичне виконання за аналогічний період минулого  року 2020 р.</t>
  </si>
  <si>
    <t>Планові показники звітного періоду  поточного року 2021 р.</t>
  </si>
  <si>
    <t>Фактичні показники звітного періоду  поточного року 2021 р.</t>
  </si>
  <si>
    <t xml:space="preserve">Порівняння  показників фактичного виконання  звітного періоду з плановими показниками  звітного періоду 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</si>
  <si>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</si>
  <si>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тис.грн.</t>
  </si>
  <si>
    <t>%</t>
  </si>
  <si>
    <t>5=4-3</t>
  </si>
  <si>
    <t>6=4/3100</t>
  </si>
  <si>
    <t>7=4-2</t>
  </si>
  <si>
    <t>8=4/2*100</t>
  </si>
  <si>
    <t>Чистий дохід (виручка) від реалізації продукції (товарів, робіт, послуг) ,у тому числі:</t>
  </si>
  <si>
    <t>- централізоване водопостачання</t>
  </si>
  <si>
    <t>- централізоване водовідведення</t>
  </si>
  <si>
    <t>- інші види діяльності</t>
  </si>
  <si>
    <t>Інші операційні доходи</t>
  </si>
  <si>
    <t xml:space="preserve">Інші доходи </t>
  </si>
  <si>
    <t>Всього:</t>
  </si>
  <si>
    <t>Таблиця 2</t>
  </si>
  <si>
    <t>Аналіз операційних витрат</t>
  </si>
  <si>
    <t>Показники</t>
  </si>
  <si>
    <t>Планові показники звітного періоду  поточного року  2021 р.</t>
  </si>
  <si>
    <t>Порівняння структур витрат, %</t>
  </si>
  <si>
    <t>структура витрат,%</t>
  </si>
  <si>
    <t xml:space="preserve">фактичні  показники звітного періоду  поточного року  до планових показників  звітного періоду </t>
  </si>
  <si>
    <t xml:space="preserve">фактичні показники  звітного періоду до фактичних показників аналогічного періоду минулого року </t>
  </si>
  <si>
    <t>8=6/4*100</t>
  </si>
  <si>
    <t>9=6/2*100</t>
  </si>
  <si>
    <t>Матеріальні витрати</t>
  </si>
  <si>
    <t>Операційні витрати, всього</t>
  </si>
  <si>
    <t>Таблиця 3</t>
  </si>
  <si>
    <t>Ефективність діяльності підприємства</t>
  </si>
  <si>
    <t>Найменування</t>
  </si>
  <si>
    <t xml:space="preserve">Фактичний обсяг реалізованої продукції (робіт, послуг) за аналогічний період минулого року, (без ПДВ), тис.грн. (2020 р.) </t>
  </si>
  <si>
    <t>Фактичний обсяг реалізованої продукції (робіт, послуг) за звітний період поточного  року, (без ПДВ), тис.грн. (  2021 р.)</t>
  </si>
  <si>
    <t>Ріст обсягу реалізованої продукції (виконаних робіт, наданих послуг), %</t>
  </si>
  <si>
    <t>Фонд оплати праці штатних працівників за аналогічний період минулого року, тис.грн. ( 2020 р.)</t>
  </si>
  <si>
    <t>Фонд оплати праці штатних працівників  за звітний період  поточного року, тис.грн. ( 2021 р.)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</si>
  <si>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</si>
  <si>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</si>
  <si>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4</t>
  </si>
  <si>
    <t>Характеристика площ</t>
  </si>
  <si>
    <t xml:space="preserve">Фактичні  показники 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</si>
  <si>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</si>
  <si>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</si>
  <si>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</si>
  <si>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</si>
  <si>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</si>
  <si>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</si>
  <si>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</si>
  <si>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</si>
  <si>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об'єктів оренди</t>
  </si>
  <si>
    <t>Таблиця 5</t>
  </si>
  <si>
    <t>Аналіз продуктивності праці</t>
  </si>
  <si>
    <t>Фактичне виконання за аналогічний період  минулого  року  2020 р.</t>
  </si>
  <si>
    <t>Фактичні  показники звітного періоду  поточного року 2021 р.</t>
  </si>
  <si>
    <t>в т/ч по категоріям працівників</t>
  </si>
  <si>
    <t>Темп росту показників, %</t>
  </si>
  <si>
    <t xml:space="preserve">фактичні показники звітного періоду  поточного року до планових показників звітного періоду поточного року </t>
  </si>
  <si>
    <t xml:space="preserve">фактичні показника звітного періоду до фактичного виконання за аналогічний період минулого року </t>
  </si>
  <si>
    <t>АУП</t>
  </si>
  <si>
    <t>Робітники</t>
  </si>
  <si>
    <t>4=5+6</t>
  </si>
  <si>
    <t>7=4/3*100</t>
  </si>
  <si>
    <t>Обсяг реалізованої продукції (робіт, послуг), (без ПДВ), тис.грн.</t>
  </si>
  <si>
    <t>Середньооблікова чисельність штатних працівників, чол.</t>
  </si>
  <si>
    <t>Фонд оплати праці штатних працівників,тис.грн.,   в т.ч</t>
  </si>
  <si>
    <t xml:space="preserve">- основна зарплата </t>
  </si>
  <si>
    <t>- додаткова зарплата</t>
  </si>
  <si>
    <t>Середньомісячна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</si>
  <si>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</si>
  <si>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</si>
  <si>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6</t>
  </si>
  <si>
    <t>Розподіл коштів, отриманих з бюджету Сумської міської територіальної громади   на поповнення Статутного капіталу</t>
  </si>
  <si>
    <t>Фактичні  показники звітного періоду  поточного року  2021 р.</t>
  </si>
  <si>
    <t>Надходження коштів з  бюджету ТГ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</si>
  <si>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</si>
  <si>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</si>
  <si>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</si>
  <si>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Придбання  осн.засобів</t>
  </si>
  <si>
    <t>Реконструкція</t>
  </si>
  <si>
    <t>Кап.ремонт</t>
  </si>
  <si>
    <t>Кап.будівн.</t>
  </si>
  <si>
    <t>Керівник               Директор</t>
  </si>
  <si>
    <t>____________</t>
  </si>
  <si>
    <t>( посада)</t>
  </si>
  <si>
    <t>Розшифровки різних статей витрат та доходів</t>
  </si>
  <si>
    <t>Факт за аналогічний період минулого року (2020)</t>
  </si>
  <si>
    <t>Планові показники звітного періоду поточного року 2021</t>
  </si>
  <si>
    <t>Фактичні показники звітного періоду поточного року 2021</t>
  </si>
  <si>
    <t>Фінансові результати</t>
  </si>
  <si>
    <t>1. Собівартість реалізації продукції</t>
  </si>
  <si>
    <t>Інші витрати:</t>
  </si>
  <si>
    <t>рентна плата за спеціальне використання води</t>
  </si>
  <si>
    <t>збір за забруднення ( екологічний податок)</t>
  </si>
  <si>
    <t>роботи та послуги сторонні (відновл а/покриття, оренда т/обл, очищ ілов площ, перекачка, підкачка, утилізація, тощо)</t>
  </si>
  <si>
    <t>охорона праці, техніка безпеки</t>
  </si>
  <si>
    <t>інше</t>
  </si>
  <si>
    <t xml:space="preserve">2.Інші адміністративні витрати </t>
  </si>
  <si>
    <t>послуги сторожової охорони</t>
  </si>
  <si>
    <t>супровід програмного забезпечення</t>
  </si>
  <si>
    <t>канцтовари, матеріали</t>
  </si>
  <si>
    <t>заправка катриджа</t>
  </si>
  <si>
    <t>послуги інтернет. Оновлення веб Сайту</t>
  </si>
  <si>
    <t>послуги по проведенню аудиту</t>
  </si>
  <si>
    <t>3. Інші операційні доходи:</t>
  </si>
  <si>
    <t>фінансова підтримка міської ради</t>
  </si>
  <si>
    <t>оплата електроенергії</t>
  </si>
  <si>
    <t>придбання обладнання довгострокового користування</t>
  </si>
  <si>
    <t>предмети, матеріали</t>
  </si>
  <si>
    <t>воєнізована охорона водозаборів</t>
  </si>
  <si>
    <t>дослідження, розробка</t>
  </si>
  <si>
    <t>реалізація необоротних активів</t>
  </si>
  <si>
    <t>оренда приміщень</t>
  </si>
  <si>
    <t>інші (реалізація ТМЦ, брухт)</t>
  </si>
  <si>
    <t>пеня, повернення судових витрат, інше</t>
  </si>
  <si>
    <t>4.Інші витрати на збут:</t>
  </si>
  <si>
    <t>розробка та прийом платежів банками</t>
  </si>
  <si>
    <t>витрати на утримання відділу збуту</t>
  </si>
  <si>
    <t>витрати на обслуг. Лічільників</t>
  </si>
  <si>
    <t>Витрати на зв'язок</t>
  </si>
  <si>
    <t>інші витрати</t>
  </si>
  <si>
    <t>5.Інші операційні витрати:</t>
  </si>
  <si>
    <t>амортизація основних засобів невиробничого характеру, інших необоротних активів</t>
  </si>
  <si>
    <t>мат.допомога</t>
  </si>
  <si>
    <t>витрати на соц.заходи( профсоюзні внески)</t>
  </si>
  <si>
    <t>невироб.витрати:</t>
  </si>
  <si>
    <t>в т.ч. витрати на оплату праці</t>
  </si>
  <si>
    <t>суми визнаних штрафів, пені, неустойки</t>
  </si>
  <si>
    <t>6.Інші фін.доходи</t>
  </si>
  <si>
    <t>% банків</t>
  </si>
  <si>
    <t>7.Фінансові витрати</t>
  </si>
  <si>
    <t>8.Інші доходи</t>
  </si>
  <si>
    <t xml:space="preserve">інші  </t>
  </si>
  <si>
    <t>8.Інші витрати</t>
  </si>
  <si>
    <t>списання недоамортизованих та непридатних до експлуатації ОЗ</t>
  </si>
  <si>
    <t>РУХ ГРОШОВИХ КОШТІВ</t>
  </si>
  <si>
    <t>12. Інші надходження</t>
  </si>
  <si>
    <t>відшкодування судових витрат</t>
  </si>
  <si>
    <t>від оренди</t>
  </si>
  <si>
    <t>14. Інші витрачання</t>
  </si>
  <si>
    <t>профспілковий внесок</t>
  </si>
  <si>
    <t>судові витрати</t>
  </si>
  <si>
    <t>штрафи, пені</t>
  </si>
  <si>
    <t>відрядження</t>
  </si>
  <si>
    <t>Начальник ПЕВ</t>
  </si>
  <si>
    <t>Л.І. Наталуха</t>
  </si>
  <si>
    <t>&lt; 
в 433,7 раз</t>
  </si>
  <si>
    <t>фінансова допомога міської ради ( е/ен, сплата податків, продовження строку дії за користування надрами )</t>
  </si>
  <si>
    <t>кошти НЕФКО разом із співфінансуванням міської ради на реконструкцію очисних споруд</t>
  </si>
  <si>
    <t>інвестиційний грант на реконструкцію очисних споруд</t>
  </si>
  <si>
    <t>фінансова допомога міської ради (заробітна плата )</t>
  </si>
  <si>
    <t>пільги, субсидії (споживачам)</t>
  </si>
  <si>
    <t>фіндопомога міської ради (оплата податків)</t>
  </si>
  <si>
    <t>фіндопомога міської ради (інші поточні видатки, ліцензія)</t>
  </si>
  <si>
    <t>фіндопомога міської ради (предмети, матеріали, обладнання та інвентар)</t>
  </si>
  <si>
    <t>30401/5</t>
  </si>
  <si>
    <t>3040/7</t>
  </si>
  <si>
    <t>3040/8</t>
  </si>
  <si>
    <t>3040/9</t>
  </si>
  <si>
    <t>20% за скиди забруднюючих речовин</t>
  </si>
  <si>
    <t>лікарняні</t>
  </si>
  <si>
    <t>15. Інші надходження</t>
  </si>
  <si>
    <t>Кошти інвестиційної програми підприємства в дод.6.2</t>
  </si>
  <si>
    <t>16. Придбання (створення) основних засобів  заходи інвестиційної програми підприємства в дод.6.2</t>
  </si>
  <si>
    <t>17. Капітальне будівництво  заходи інвестиційної програми підприємства в дод.6.2</t>
  </si>
  <si>
    <t>18. Придбання (створення) нематеріальних активів заходи інвестиційної програми підприємства в дод.6.2</t>
  </si>
  <si>
    <t>20. Інші надходження</t>
  </si>
  <si>
    <t xml:space="preserve">відсотки за користування позикою </t>
  </si>
  <si>
    <t>РОЗРАХУНКИ З БЮДЖЕТОМ</t>
  </si>
  <si>
    <t>інші (штрафи, пені, неустойки),з них :</t>
  </si>
  <si>
    <t xml:space="preserve">                                                     ПДВ</t>
  </si>
  <si>
    <t xml:space="preserve"> рентна плата за спецводокористування</t>
  </si>
  <si>
    <t>3040/10</t>
  </si>
  <si>
    <t>-</t>
  </si>
  <si>
    <t xml:space="preserve">Інші надходження </t>
  </si>
  <si>
    <t>операційна оренда</t>
  </si>
  <si>
    <t>відсотки банків</t>
  </si>
  <si>
    <t xml:space="preserve">Інші </t>
  </si>
  <si>
    <t>21. Інші платежі</t>
  </si>
  <si>
    <t>Додаток 3</t>
  </si>
  <si>
    <t xml:space="preserve">до Порядку складання, затвердження </t>
  </si>
  <si>
    <t xml:space="preserve">та контролю  виконання фінансових планів </t>
  </si>
  <si>
    <t>підприємств комунальної власності територіальної громади</t>
  </si>
  <si>
    <t>Сумської міської територіальної громади</t>
  </si>
  <si>
    <t>19. Інші платежі підприємства</t>
  </si>
  <si>
    <t>інші</t>
  </si>
  <si>
    <t>інші поточні видатки, оплата податків, ліцензія</t>
  </si>
  <si>
    <t>амортизація безкошт.отриманих оз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</si>
</sst>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_(* #,##0.0_);_(* \(#,##0.0\);_(* \-_);_(@_)"/>
    <numFmt numFmtId="177" formatCode="* #,##0\ ;* \(#,##0\);* &quot;- &quot;;@\ "/>
    <numFmt numFmtId="178" formatCode="0.0"/>
    <numFmt numFmtId="179" formatCode="_(* #,##0_);_(* \(#,##0\);_(* \-??_);_(@_)"/>
    <numFmt numFmtId="180" formatCode="_(* #,##0.0_);_(* \(#,##0.0\);_(* \-??_);_(@_)"/>
    <numFmt numFmtId="181" formatCode="0.00000"/>
    <numFmt numFmtId="182" formatCode="0.0000"/>
    <numFmt numFmtId="183" formatCode="0.000"/>
    <numFmt numFmtId="184" formatCode="0.000000"/>
  </numFmts>
  <fonts count="11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1"/>
      <color indexed="17"/>
      <name val="Calibri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99" fillId="8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99" fillId="9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99" fillId="10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99" fillId="11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99" fillId="12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99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99" fillId="18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99" fillId="19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99" fillId="20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99" fillId="21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99" fillId="22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99" fillId="23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99" fillId="28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99" fillId="29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99" fillId="30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99" fillId="31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99" fillId="32" borderId="0" applyNumberFormat="0" applyBorder="0" applyAlignment="0" applyProtection="0"/>
    <xf numFmtId="0" fontId="16" fillId="26" borderId="0" applyNumberFormat="0" applyBorder="0" applyAlignment="0" applyProtection="0"/>
    <xf numFmtId="0" fontId="15" fillId="26" borderId="0" applyNumberFormat="0" applyBorder="0" applyAlignment="0" applyProtection="0"/>
    <xf numFmtId="0" fontId="99" fillId="33" borderId="0" applyNumberFormat="0" applyBorder="0" applyAlignment="0" applyProtection="0"/>
    <xf numFmtId="0" fontId="16" fillId="27" borderId="0" applyNumberFormat="0" applyBorder="0" applyAlignment="0" applyProtection="0"/>
    <xf numFmtId="0" fontId="15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9" fillId="41" borderId="0" applyNumberFormat="0" applyBorder="0" applyAlignment="0" applyProtection="0"/>
    <xf numFmtId="0" fontId="17" fillId="42" borderId="1" applyNumberFormat="0" applyAlignment="0" applyProtection="0"/>
    <xf numFmtId="0" fontId="18" fillId="43" borderId="2" applyNumberFormat="0" applyAlignment="0" applyProtection="0"/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49" fontId="1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44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21" fillId="0" borderId="0" applyAlignment="0">
      <protection/>
    </xf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25" fillId="45" borderId="5">
      <alignment horizontal="left" vertical="center"/>
      <protection locked="0"/>
    </xf>
    <xf numFmtId="49" fontId="25" fillId="45" borderId="5">
      <alignment horizontal="left" vertical="center"/>
      <protection/>
    </xf>
    <xf numFmtId="4" fontId="25" fillId="45" borderId="5">
      <alignment horizontal="right" vertical="center"/>
      <protection locked="0"/>
    </xf>
    <xf numFmtId="4" fontId="25" fillId="45" borderId="5">
      <alignment horizontal="right" vertical="center"/>
      <protection/>
    </xf>
    <xf numFmtId="4" fontId="26" fillId="45" borderId="5">
      <alignment horizontal="right" vertical="center"/>
      <protection locked="0"/>
    </xf>
    <xf numFmtId="49" fontId="27" fillId="45" borderId="3">
      <alignment horizontal="left" vertical="center"/>
      <protection locked="0"/>
    </xf>
    <xf numFmtId="49" fontId="27" fillId="45" borderId="3">
      <alignment horizontal="left" vertical="center"/>
      <protection/>
    </xf>
    <xf numFmtId="49" fontId="28" fillId="45" borderId="3">
      <alignment horizontal="left" vertical="center"/>
      <protection locked="0"/>
    </xf>
    <xf numFmtId="49" fontId="28" fillId="45" borderId="3">
      <alignment horizontal="left" vertical="center"/>
      <protection/>
    </xf>
    <xf numFmtId="4" fontId="27" fillId="45" borderId="3">
      <alignment horizontal="right" vertical="center"/>
      <protection locked="0"/>
    </xf>
    <xf numFmtId="4" fontId="27" fillId="45" borderId="3">
      <alignment horizontal="right" vertical="center"/>
      <protection/>
    </xf>
    <xf numFmtId="4" fontId="29" fillId="45" borderId="3">
      <alignment horizontal="right" vertical="center"/>
      <protection locked="0"/>
    </xf>
    <xf numFmtId="49" fontId="19" fillId="45" borderId="3">
      <alignment horizontal="left" vertical="center"/>
      <protection locked="0"/>
    </xf>
    <xf numFmtId="49" fontId="19" fillId="45" borderId="3">
      <alignment horizontal="left" vertical="center"/>
      <protection locked="0"/>
    </xf>
    <xf numFmtId="49" fontId="19" fillId="45" borderId="3">
      <alignment horizontal="left" vertical="center"/>
      <protection/>
    </xf>
    <xf numFmtId="49" fontId="19" fillId="45" borderId="3">
      <alignment horizontal="left" vertical="center"/>
      <protection/>
    </xf>
    <xf numFmtId="49" fontId="26" fillId="45" borderId="3">
      <alignment horizontal="left" vertical="center"/>
      <protection locked="0"/>
    </xf>
    <xf numFmtId="49" fontId="26" fillId="45" borderId="3">
      <alignment horizontal="left" vertical="center"/>
      <protection/>
    </xf>
    <xf numFmtId="4" fontId="19" fillId="45" borderId="3">
      <alignment horizontal="right" vertical="center"/>
      <protection locked="0"/>
    </xf>
    <xf numFmtId="4" fontId="19" fillId="45" borderId="3">
      <alignment horizontal="right" vertical="center"/>
      <protection locked="0"/>
    </xf>
    <xf numFmtId="4" fontId="19" fillId="45" borderId="3">
      <alignment horizontal="right" vertical="center"/>
      <protection/>
    </xf>
    <xf numFmtId="4" fontId="19" fillId="45" borderId="3">
      <alignment horizontal="right" vertical="center"/>
      <protection/>
    </xf>
    <xf numFmtId="4" fontId="26" fillId="45" borderId="3">
      <alignment horizontal="right" vertical="center"/>
      <protection locked="0"/>
    </xf>
    <xf numFmtId="49" fontId="30" fillId="45" borderId="3">
      <alignment horizontal="left" vertical="center"/>
      <protection locked="0"/>
    </xf>
    <xf numFmtId="49" fontId="30" fillId="45" borderId="3">
      <alignment horizontal="left" vertical="center"/>
      <protection/>
    </xf>
    <xf numFmtId="49" fontId="31" fillId="45" borderId="3">
      <alignment horizontal="left" vertical="center"/>
      <protection locked="0"/>
    </xf>
    <xf numFmtId="49" fontId="31" fillId="45" borderId="3">
      <alignment horizontal="left" vertical="center"/>
      <protection/>
    </xf>
    <xf numFmtId="4" fontId="30" fillId="45" borderId="3">
      <alignment horizontal="right" vertical="center"/>
      <protection locked="0"/>
    </xf>
    <xf numFmtId="4" fontId="30" fillId="45" borderId="3">
      <alignment horizontal="right" vertical="center"/>
      <protection/>
    </xf>
    <xf numFmtId="4" fontId="32" fillId="45" borderId="3">
      <alignment horizontal="right" vertical="center"/>
      <protection locked="0"/>
    </xf>
    <xf numFmtId="49" fontId="33" fillId="0" borderId="3">
      <alignment horizontal="left" vertical="center"/>
      <protection locked="0"/>
    </xf>
    <xf numFmtId="49" fontId="33" fillId="0" borderId="3">
      <alignment horizontal="left" vertical="center"/>
      <protection/>
    </xf>
    <xf numFmtId="49" fontId="34" fillId="0" borderId="3">
      <alignment horizontal="left" vertical="center"/>
      <protection locked="0"/>
    </xf>
    <xf numFmtId="49" fontId="34" fillId="0" borderId="3">
      <alignment horizontal="left" vertical="center"/>
      <protection/>
    </xf>
    <xf numFmtId="4" fontId="33" fillId="0" borderId="3">
      <alignment horizontal="right" vertical="center"/>
      <protection locked="0"/>
    </xf>
    <xf numFmtId="4" fontId="33" fillId="0" borderId="3">
      <alignment horizontal="right" vertical="center"/>
      <protection/>
    </xf>
    <xf numFmtId="4" fontId="34" fillId="0" borderId="3">
      <alignment horizontal="right" vertical="center"/>
      <protection locked="0"/>
    </xf>
    <xf numFmtId="49" fontId="35" fillId="0" borderId="3">
      <alignment horizontal="left" vertical="center"/>
      <protection locked="0"/>
    </xf>
    <xf numFmtId="49" fontId="35" fillId="0" borderId="3">
      <alignment horizontal="left" vertical="center"/>
      <protection/>
    </xf>
    <xf numFmtId="49" fontId="36" fillId="0" borderId="3">
      <alignment horizontal="left" vertical="center"/>
      <protection locked="0"/>
    </xf>
    <xf numFmtId="49" fontId="36" fillId="0" borderId="3">
      <alignment horizontal="left" vertical="center"/>
      <protection/>
    </xf>
    <xf numFmtId="4" fontId="35" fillId="0" borderId="3">
      <alignment horizontal="right" vertical="center"/>
      <protection locked="0"/>
    </xf>
    <xf numFmtId="4" fontId="35" fillId="0" borderId="3">
      <alignment horizontal="right" vertical="center"/>
      <protection/>
    </xf>
    <xf numFmtId="49" fontId="33" fillId="0" borderId="3">
      <alignment horizontal="left" vertical="center"/>
      <protection locked="0"/>
    </xf>
    <xf numFmtId="49" fontId="34" fillId="0" borderId="3">
      <alignment horizontal="left" vertical="center"/>
      <protection locked="0"/>
    </xf>
    <xf numFmtId="4" fontId="33" fillId="0" borderId="3">
      <alignment horizontal="right" vertical="center"/>
      <protection locked="0"/>
    </xf>
    <xf numFmtId="0" fontId="37" fillId="0" borderId="6" applyNumberFormat="0" applyFill="0" applyAlignment="0" applyProtection="0"/>
    <xf numFmtId="0" fontId="8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5" fillId="46" borderId="1" applyNumberFormat="0" applyAlignment="0" applyProtection="0"/>
    <xf numFmtId="4" fontId="38" fillId="7" borderId="3">
      <alignment horizontal="right" vertical="center"/>
      <protection locked="0"/>
    </xf>
    <xf numFmtId="4" fontId="38" fillId="6" borderId="3">
      <alignment horizontal="right" vertical="center"/>
      <protection locked="0"/>
    </xf>
    <xf numFmtId="4" fontId="38" fillId="42" borderId="3">
      <alignment horizontal="right" vertical="center"/>
      <protection locked="0"/>
    </xf>
    <xf numFmtId="0" fontId="39" fillId="42" borderId="7" applyNumberFormat="0" applyAlignment="0" applyProtection="0"/>
    <xf numFmtId="49" fontId="19" fillId="0" borderId="3">
      <alignment horizontal="left" vertical="center" wrapText="1"/>
      <protection locked="0"/>
    </xf>
    <xf numFmtId="49" fontId="19" fillId="0" borderId="3">
      <alignment horizontal="left" vertical="center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6" fillId="37" borderId="0" applyNumberFormat="0" applyBorder="0" applyAlignment="0" applyProtection="0"/>
    <xf numFmtId="0" fontId="15" fillId="37" borderId="0" applyNumberFormat="0" applyBorder="0" applyAlignment="0" applyProtection="0"/>
    <xf numFmtId="0" fontId="100" fillId="48" borderId="0" applyNumberFormat="0" applyBorder="0" applyAlignment="0" applyProtection="0"/>
    <xf numFmtId="0" fontId="16" fillId="38" borderId="0" applyNumberFormat="0" applyBorder="0" applyAlignment="0" applyProtection="0"/>
    <xf numFmtId="0" fontId="15" fillId="38" borderId="0" applyNumberFormat="0" applyBorder="0" applyAlignment="0" applyProtection="0"/>
    <xf numFmtId="0" fontId="100" fillId="4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00" fillId="50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00" fillId="51" borderId="0" applyNumberFormat="0" applyBorder="0" applyAlignment="0" applyProtection="0"/>
    <xf numFmtId="0" fontId="16" fillId="26" borderId="0" applyNumberFormat="0" applyBorder="0" applyAlignment="0" applyProtection="0"/>
    <xf numFmtId="0" fontId="15" fillId="26" borderId="0" applyNumberFormat="0" applyBorder="0" applyAlignment="0" applyProtection="0"/>
    <xf numFmtId="0" fontId="100" fillId="52" borderId="0" applyNumberFormat="0" applyBorder="0" applyAlignment="0" applyProtection="0"/>
    <xf numFmtId="0" fontId="16" fillId="40" borderId="0" applyNumberFormat="0" applyBorder="0" applyAlignment="0" applyProtection="0"/>
    <xf numFmtId="0" fontId="15" fillId="40" borderId="0" applyNumberFormat="0" applyBorder="0" applyAlignment="0" applyProtection="0"/>
    <xf numFmtId="0" fontId="101" fillId="53" borderId="9" applyNumberFormat="0" applyAlignment="0" applyProtection="0"/>
    <xf numFmtId="0" fontId="43" fillId="7" borderId="1" applyNumberFormat="0" applyAlignment="0" applyProtection="0"/>
    <xf numFmtId="0" fontId="24" fillId="7" borderId="1" applyNumberFormat="0" applyAlignment="0" applyProtection="0"/>
    <xf numFmtId="0" fontId="102" fillId="54" borderId="10" applyNumberFormat="0" applyAlignment="0" applyProtection="0"/>
    <xf numFmtId="0" fontId="44" fillId="42" borderId="7" applyNumberFormat="0" applyAlignment="0" applyProtection="0"/>
    <xf numFmtId="0" fontId="39" fillId="42" borderId="7" applyNumberFormat="0" applyAlignment="0" applyProtection="0"/>
    <xf numFmtId="0" fontId="103" fillId="54" borderId="9" applyNumberFormat="0" applyAlignment="0" applyProtection="0"/>
    <xf numFmtId="0" fontId="45" fillId="42" borderId="1" applyNumberFormat="0" applyAlignment="0" applyProtection="0"/>
    <xf numFmtId="0" fontId="17" fillId="4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104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2" applyNumberFormat="0" applyFill="0" applyAlignment="0" applyProtection="0"/>
    <xf numFmtId="0" fontId="105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4" applyNumberFormat="0" applyFill="0" applyAlignment="0" applyProtection="0"/>
    <xf numFmtId="0" fontId="106" fillId="0" borderId="15" applyNumberFormat="0" applyFill="0" applyAlignment="0" applyProtection="0"/>
    <xf numFmtId="0" fontId="50" fillId="0" borderId="4" applyNumberFormat="0" applyFill="0" applyAlignment="0" applyProtection="0"/>
    <xf numFmtId="0" fontId="22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7" fillId="0" borderId="16" applyNumberFormat="0" applyFill="0" applyAlignment="0" applyProtection="0"/>
    <xf numFmtId="0" fontId="51" fillId="0" borderId="8" applyNumberFormat="0" applyFill="0" applyAlignment="0" applyProtection="0"/>
    <xf numFmtId="0" fontId="41" fillId="0" borderId="8" applyNumberFormat="0" applyFill="0" applyAlignment="0" applyProtection="0"/>
    <xf numFmtId="0" fontId="108" fillId="55" borderId="17" applyNumberFormat="0" applyAlignment="0" applyProtection="0"/>
    <xf numFmtId="0" fontId="52" fillId="43" borderId="2" applyNumberFormat="0" applyAlignment="0" applyProtection="0"/>
    <xf numFmtId="0" fontId="18" fillId="43" borderId="2" applyNumberFormat="0" applyAlignment="0" applyProtection="0"/>
    <xf numFmtId="0" fontId="10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0" fillId="56" borderId="0" applyNumberFormat="0" applyBorder="0" applyAlignment="0" applyProtection="0"/>
    <xf numFmtId="0" fontId="53" fillId="57" borderId="0" applyNumberFormat="0" applyBorder="0" applyAlignment="0" applyProtection="0"/>
    <xf numFmtId="0" fontId="54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1" fillId="58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1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9" borderId="18" applyNumberFormat="0" applyFont="0" applyAlignment="0" applyProtection="0"/>
    <xf numFmtId="0" fontId="0" fillId="46" borderId="19" applyNumberFormat="0" applyAlignment="0" applyProtection="0"/>
    <xf numFmtId="0" fontId="0" fillId="46" borderId="1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3" fillId="0" borderId="20" applyNumberFormat="0" applyFill="0" applyAlignment="0" applyProtection="0"/>
    <xf numFmtId="0" fontId="59" fillId="0" borderId="6" applyNumberFormat="0" applyFill="0" applyAlignment="0" applyProtection="0"/>
    <xf numFmtId="0" fontId="37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115" fillId="60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174" fontId="64" fillId="0" borderId="0" applyFill="0" applyBorder="0">
      <alignment horizontal="center" vertical="center" wrapText="1"/>
      <protection locked="0"/>
    </xf>
    <xf numFmtId="165" fontId="63" fillId="0" borderId="0">
      <alignment wrapText="1"/>
      <protection/>
    </xf>
    <xf numFmtId="165" fontId="21" fillId="0" borderId="0">
      <alignment wrapText="1"/>
      <protection/>
    </xf>
  </cellStyleXfs>
  <cellXfs count="455">
    <xf numFmtId="0" fontId="0" fillId="0" borderId="0" xfId="0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wrapText="1"/>
    </xf>
    <xf numFmtId="0" fontId="65" fillId="0" borderId="21" xfId="0" applyFont="1" applyFill="1" applyBorder="1" applyAlignment="1">
      <alignment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/>
    </xf>
    <xf numFmtId="0" fontId="65" fillId="0" borderId="22" xfId="0" applyFont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vertical="center"/>
    </xf>
    <xf numFmtId="0" fontId="65" fillId="0" borderId="22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49" fontId="65" fillId="0" borderId="0" xfId="0" applyNumberFormat="1" applyFont="1" applyFill="1" applyBorder="1" applyAlignment="1">
      <alignment horizontal="center" vertical="center"/>
    </xf>
    <xf numFmtId="167" fontId="65" fillId="0" borderId="0" xfId="0" applyNumberFormat="1" applyFont="1" applyFill="1" applyBorder="1" applyAlignment="1">
      <alignment horizontal="center" vertical="center" wrapText="1"/>
    </xf>
    <xf numFmtId="167" fontId="73" fillId="0" borderId="0" xfId="0" applyNumberFormat="1" applyFont="1" applyFill="1" applyBorder="1" applyAlignment="1">
      <alignment horizontal="center" vertical="center" wrapText="1"/>
    </xf>
    <xf numFmtId="175" fontId="73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4" fillId="0" borderId="0" xfId="0" applyFont="1" applyFill="1" applyBorder="1" applyAlignment="1">
      <alignment horizontal="left" vertical="center" wrapText="1"/>
    </xf>
    <xf numFmtId="175" fontId="6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right" vertical="center" wrapText="1"/>
    </xf>
    <xf numFmtId="0" fontId="65" fillId="0" borderId="0" xfId="0" applyFont="1" applyFill="1" applyAlignment="1">
      <alignment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69" fillId="0" borderId="0" xfId="0" applyFont="1" applyFill="1" applyBorder="1" applyAlignment="1">
      <alignment horizontal="left" vertical="center"/>
    </xf>
    <xf numFmtId="0" fontId="65" fillId="0" borderId="0" xfId="308" applyFont="1" applyFill="1" applyBorder="1" applyAlignment="1">
      <alignment vertical="center"/>
      <protection/>
    </xf>
    <xf numFmtId="0" fontId="65" fillId="0" borderId="0" xfId="308" applyFont="1" applyFill="1" applyBorder="1" applyAlignment="1">
      <alignment horizontal="center" vertical="center"/>
      <protection/>
    </xf>
    <xf numFmtId="0" fontId="69" fillId="0" borderId="0" xfId="308" applyFont="1" applyFill="1" applyBorder="1" applyAlignment="1">
      <alignment horizontal="center" vertical="center"/>
      <protection/>
    </xf>
    <xf numFmtId="0" fontId="69" fillId="0" borderId="0" xfId="308" applyFont="1" applyFill="1" applyBorder="1" applyAlignment="1">
      <alignment vertical="center"/>
      <protection/>
    </xf>
    <xf numFmtId="0" fontId="65" fillId="0" borderId="0" xfId="308" applyFont="1" applyFill="1" applyBorder="1" applyAlignment="1">
      <alignment horizontal="left" vertical="center" wrapText="1"/>
      <protection/>
    </xf>
    <xf numFmtId="0" fontId="78" fillId="0" borderId="0" xfId="308" applyFont="1" applyFill="1">
      <alignment/>
      <protection/>
    </xf>
    <xf numFmtId="178" fontId="65" fillId="0" borderId="0" xfId="357" applyNumberFormat="1" applyFont="1" applyFill="1" applyBorder="1" applyAlignment="1" applyProtection="1">
      <alignment horizontal="right" vertical="center" wrapText="1"/>
      <protection/>
    </xf>
    <xf numFmtId="0" fontId="78" fillId="0" borderId="0" xfId="0" applyFont="1" applyAlignment="1">
      <alignment/>
    </xf>
    <xf numFmtId="0" fontId="79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center" vertical="center" wrapText="1"/>
    </xf>
    <xf numFmtId="175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6" fillId="0" borderId="0" xfId="0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1" fontId="65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178" fontId="69" fillId="0" borderId="0" xfId="0" applyNumberFormat="1" applyFont="1" applyFill="1" applyBorder="1" applyAlignment="1">
      <alignment horizontal="right" vertical="center" wrapText="1"/>
    </xf>
    <xf numFmtId="178" fontId="69" fillId="0" borderId="0" xfId="0" applyNumberFormat="1" applyFont="1" applyFill="1" applyBorder="1" applyAlignment="1">
      <alignment horizontal="center" vertical="center" wrapText="1"/>
    </xf>
    <xf numFmtId="175" fontId="69" fillId="0" borderId="0" xfId="0" applyNumberFormat="1" applyFont="1" applyFill="1" applyBorder="1" applyAlignment="1">
      <alignment horizontal="center" vertical="center"/>
    </xf>
    <xf numFmtId="175" fontId="69" fillId="0" borderId="0" xfId="0" applyNumberFormat="1" applyFont="1" applyFill="1" applyBorder="1" applyAlignment="1">
      <alignment vertical="center"/>
    </xf>
    <xf numFmtId="178" fontId="69" fillId="0" borderId="0" xfId="0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 shrinkToFit="1"/>
    </xf>
    <xf numFmtId="0" fontId="66" fillId="0" borderId="0" xfId="0" applyFont="1" applyAlignment="1">
      <alignment/>
    </xf>
    <xf numFmtId="0" fontId="65" fillId="0" borderId="0" xfId="0" applyFont="1" applyFill="1" applyAlignment="1">
      <alignment horizontal="left" vertical="center" wrapText="1" shrinkToFi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175" fontId="65" fillId="0" borderId="0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6" fillId="0" borderId="24" xfId="0" applyFont="1" applyFill="1" applyBorder="1" applyAlignment="1">
      <alignment horizontal="left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4" xfId="308" applyFont="1" applyFill="1" applyBorder="1" applyAlignment="1">
      <alignment horizontal="center" vertical="center" wrapText="1"/>
      <protection/>
    </xf>
    <xf numFmtId="49" fontId="82" fillId="0" borderId="24" xfId="0" applyNumberFormat="1" applyFont="1" applyFill="1" applyBorder="1" applyAlignment="1">
      <alignment horizontal="left" vertical="center" wrapText="1"/>
    </xf>
    <xf numFmtId="179" fontId="66" fillId="0" borderId="24" xfId="0" applyNumberFormat="1" applyFont="1" applyFill="1" applyBorder="1" applyAlignment="1">
      <alignment horizontal="right" vertical="center" wrapText="1"/>
    </xf>
    <xf numFmtId="49" fontId="83" fillId="0" borderId="24" xfId="0" applyNumberFormat="1" applyFont="1" applyFill="1" applyBorder="1" applyAlignment="1">
      <alignment horizontal="left" vertical="center" wrapText="1"/>
    </xf>
    <xf numFmtId="3" fontId="66" fillId="0" borderId="24" xfId="0" applyNumberFormat="1" applyFont="1" applyFill="1" applyBorder="1" applyAlignment="1">
      <alignment horizontal="left" vertical="center" wrapText="1"/>
    </xf>
    <xf numFmtId="179" fontId="82" fillId="0" borderId="24" xfId="0" applyNumberFormat="1" applyFont="1" applyFill="1" applyBorder="1" applyAlignment="1">
      <alignment horizontal="right" vertical="center" wrapText="1"/>
    </xf>
    <xf numFmtId="49" fontId="84" fillId="0" borderId="24" xfId="0" applyNumberFormat="1" applyFont="1" applyFill="1" applyBorder="1" applyAlignment="1">
      <alignment horizontal="left" vertical="center" wrapText="1"/>
    </xf>
    <xf numFmtId="49" fontId="66" fillId="0" borderId="24" xfId="0" applyNumberFormat="1" applyFont="1" applyFill="1" applyBorder="1" applyAlignment="1">
      <alignment horizontal="left" vertical="center" wrapText="1"/>
    </xf>
    <xf numFmtId="0" fontId="85" fillId="0" borderId="24" xfId="0" applyFont="1" applyBorder="1" applyAlignment="1">
      <alignment horizontal="left" vertical="center" wrapText="1"/>
    </xf>
    <xf numFmtId="0" fontId="66" fillId="0" borderId="24" xfId="0" applyFont="1" applyBorder="1" applyAlignment="1">
      <alignment/>
    </xf>
    <xf numFmtId="49" fontId="66" fillId="0" borderId="24" xfId="0" applyNumberFormat="1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center" wrapText="1" shrinkToFi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180" fontId="65" fillId="0" borderId="24" xfId="0" applyNumberFormat="1" applyFont="1" applyFill="1" applyBorder="1" applyAlignment="1">
      <alignment horizontal="right" vertical="center" wrapText="1"/>
    </xf>
    <xf numFmtId="179" fontId="65" fillId="0" borderId="24" xfId="0" applyNumberFormat="1" applyFont="1" applyFill="1" applyBorder="1" applyAlignment="1">
      <alignment horizontal="right" vertical="center" wrapText="1"/>
    </xf>
    <xf numFmtId="175" fontId="65" fillId="0" borderId="24" xfId="0" applyNumberFormat="1" applyFont="1" applyFill="1" applyBorder="1" applyAlignment="1">
      <alignment horizontal="right" vertical="center" wrapText="1"/>
    </xf>
    <xf numFmtId="179" fontId="69" fillId="57" borderId="24" xfId="0" applyNumberFormat="1" applyFont="1" applyFill="1" applyBorder="1" applyAlignment="1">
      <alignment horizontal="right" vertical="center" wrapText="1"/>
    </xf>
    <xf numFmtId="179" fontId="69" fillId="0" borderId="24" xfId="0" applyNumberFormat="1" applyFont="1" applyFill="1" applyBorder="1" applyAlignment="1">
      <alignment horizontal="right" vertical="center" wrapText="1"/>
    </xf>
    <xf numFmtId="175" fontId="69" fillId="0" borderId="24" xfId="0" applyNumberFormat="1" applyFont="1" applyFill="1" applyBorder="1" applyAlignment="1">
      <alignment horizontal="right" vertical="center" wrapText="1"/>
    </xf>
    <xf numFmtId="175" fontId="65" fillId="45" borderId="24" xfId="0" applyNumberFormat="1" applyFont="1" applyFill="1" applyBorder="1" applyAlignment="1">
      <alignment horizontal="right" vertical="center" wrapText="1"/>
    </xf>
    <xf numFmtId="0" fontId="65" fillId="0" borderId="24" xfId="0" applyNumberFormat="1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left" vertical="center" wrapText="1"/>
    </xf>
    <xf numFmtId="49" fontId="65" fillId="0" borderId="24" xfId="0" applyNumberFormat="1" applyFont="1" applyFill="1" applyBorder="1" applyAlignment="1">
      <alignment horizontal="left" vertical="center" wrapText="1"/>
    </xf>
    <xf numFmtId="4" fontId="65" fillId="0" borderId="24" xfId="0" applyNumberFormat="1" applyFont="1" applyFill="1" applyBorder="1" applyAlignment="1">
      <alignment horizontal="right" vertical="center" wrapText="1"/>
    </xf>
    <xf numFmtId="167" fontId="69" fillId="6" borderId="24" xfId="0" applyNumberFormat="1" applyFont="1" applyFill="1" applyBorder="1" applyAlignment="1">
      <alignment horizontal="right" vertical="center" wrapText="1"/>
    </xf>
    <xf numFmtId="0" fontId="69" fillId="0" borderId="24" xfId="0" applyFont="1" applyFill="1" applyBorder="1" applyAlignment="1">
      <alignment horizontal="left" vertical="center"/>
    </xf>
    <xf numFmtId="180" fontId="69" fillId="0" borderId="24" xfId="0" applyNumberFormat="1" applyFont="1" applyFill="1" applyBorder="1" applyAlignment="1">
      <alignment horizontal="right" vertical="center" wrapText="1"/>
    </xf>
    <xf numFmtId="0" fontId="69" fillId="0" borderId="24" xfId="0" applyFont="1" applyFill="1" applyBorder="1" applyAlignment="1">
      <alignment horizontal="center" vertical="center"/>
    </xf>
    <xf numFmtId="0" fontId="65" fillId="0" borderId="24" xfId="299" applyNumberFormat="1" applyFont="1" applyFill="1" applyBorder="1" applyAlignment="1">
      <alignment horizontal="center" vertical="center" wrapText="1"/>
      <protection/>
    </xf>
    <xf numFmtId="0" fontId="69" fillId="0" borderId="24" xfId="0" applyFont="1" applyFill="1" applyBorder="1" applyAlignment="1">
      <alignment horizontal="center" vertical="center" wrapText="1"/>
    </xf>
    <xf numFmtId="0" fontId="65" fillId="0" borderId="24" xfId="299" applyFont="1" applyFill="1" applyBorder="1" applyAlignment="1">
      <alignment horizontal="center" vertical="center"/>
      <protection/>
    </xf>
    <xf numFmtId="0" fontId="69" fillId="0" borderId="24" xfId="299" applyFont="1" applyFill="1" applyBorder="1" applyAlignment="1">
      <alignment horizontal="left" vertical="center"/>
      <protection/>
    </xf>
    <xf numFmtId="0" fontId="65" fillId="0" borderId="24" xfId="299" applyNumberFormat="1" applyFont="1" applyFill="1" applyBorder="1" applyAlignment="1">
      <alignment horizontal="left" vertical="center" wrapText="1"/>
      <protection/>
    </xf>
    <xf numFmtId="0" fontId="65" fillId="0" borderId="24" xfId="299" applyNumberFormat="1" applyFont="1" applyFill="1" applyBorder="1" applyAlignment="1">
      <alignment horizontal="left" vertical="top" wrapText="1"/>
      <protection/>
    </xf>
    <xf numFmtId="0" fontId="65" fillId="0" borderId="24" xfId="299" applyFont="1" applyFill="1" applyBorder="1" applyAlignment="1">
      <alignment horizontal="center" vertical="center" wrapText="1"/>
      <protection/>
    </xf>
    <xf numFmtId="175" fontId="65" fillId="0" borderId="24" xfId="299" applyNumberFormat="1" applyFont="1" applyFill="1" applyBorder="1" applyAlignment="1">
      <alignment horizontal="center" vertical="center" wrapText="1"/>
      <protection/>
    </xf>
    <xf numFmtId="49" fontId="65" fillId="0" borderId="24" xfId="299" applyNumberFormat="1" applyFont="1" applyFill="1" applyBorder="1" applyAlignment="1">
      <alignment horizontal="left" vertical="center" wrapText="1"/>
      <protection/>
    </xf>
    <xf numFmtId="0" fontId="69" fillId="0" borderId="24" xfId="308" applyFont="1" applyFill="1" applyBorder="1" applyAlignment="1">
      <alignment horizontal="center" vertical="center"/>
      <protection/>
    </xf>
    <xf numFmtId="0" fontId="69" fillId="0" borderId="24" xfId="0" applyNumberFormat="1" applyFont="1" applyFill="1" applyBorder="1" applyAlignment="1">
      <alignment horizontal="center" vertical="center"/>
    </xf>
    <xf numFmtId="167" fontId="69" fillId="0" borderId="24" xfId="0" applyNumberFormat="1" applyFont="1" applyFill="1" applyBorder="1" applyAlignment="1">
      <alignment horizontal="right" vertical="center" wrapText="1"/>
    </xf>
    <xf numFmtId="178" fontId="69" fillId="0" borderId="24" xfId="357" applyNumberFormat="1" applyFont="1" applyFill="1" applyBorder="1" applyAlignment="1" applyProtection="1">
      <alignment horizontal="right" vertical="center" wrapText="1"/>
      <protection/>
    </xf>
    <xf numFmtId="167" fontId="65" fillId="0" borderId="24" xfId="0" applyNumberFormat="1" applyFont="1" applyFill="1" applyBorder="1" applyAlignment="1">
      <alignment horizontal="right" vertical="center" wrapText="1"/>
    </xf>
    <xf numFmtId="178" fontId="65" fillId="0" borderId="24" xfId="357" applyNumberFormat="1" applyFont="1" applyFill="1" applyBorder="1" applyAlignment="1" applyProtection="1">
      <alignment horizontal="right" vertical="center" wrapText="1"/>
      <protection/>
    </xf>
    <xf numFmtId="3" fontId="65" fillId="0" borderId="24" xfId="0" applyNumberFormat="1" applyFont="1" applyFill="1" applyBorder="1" applyAlignment="1">
      <alignment horizontal="right" vertical="center" wrapText="1"/>
    </xf>
    <xf numFmtId="0" fontId="69" fillId="7" borderId="24" xfId="308" applyFont="1" applyFill="1" applyBorder="1" applyAlignment="1">
      <alignment horizontal="left" vertical="center" wrapText="1"/>
      <protection/>
    </xf>
    <xf numFmtId="177" fontId="65" fillId="0" borderId="24" xfId="0" applyNumberFormat="1" applyFont="1" applyFill="1" applyBorder="1" applyAlignment="1">
      <alignment horizontal="right" vertical="center" wrapText="1"/>
    </xf>
    <xf numFmtId="0" fontId="65" fillId="0" borderId="24" xfId="0" applyFont="1" applyFill="1" applyBorder="1" applyAlignment="1">
      <alignment horizontal="right" vertical="center" wrapText="1"/>
    </xf>
    <xf numFmtId="167" fontId="65" fillId="57" borderId="24" xfId="0" applyNumberFormat="1" applyFont="1" applyFill="1" applyBorder="1" applyAlignment="1">
      <alignment horizontal="right" vertical="center" wrapText="1"/>
    </xf>
    <xf numFmtId="0" fontId="69" fillId="0" borderId="24" xfId="308" applyFont="1" applyFill="1" applyBorder="1" applyAlignment="1">
      <alignment horizontal="left" vertical="center" wrapText="1"/>
      <protection/>
    </xf>
    <xf numFmtId="0" fontId="69" fillId="0" borderId="24" xfId="308" applyFont="1" applyFill="1" applyBorder="1" applyAlignment="1">
      <alignment horizontal="right" vertical="center" wrapText="1"/>
      <protection/>
    </xf>
    <xf numFmtId="0" fontId="69" fillId="7" borderId="24" xfId="0" applyFont="1" applyFill="1" applyBorder="1" applyAlignment="1">
      <alignment horizontal="left" vertical="center" wrapText="1"/>
    </xf>
    <xf numFmtId="0" fontId="65" fillId="0" borderId="24" xfId="308" applyFont="1" applyFill="1" applyBorder="1" applyAlignment="1">
      <alignment horizontal="left" vertical="center" wrapText="1"/>
      <protection/>
    </xf>
    <xf numFmtId="167" fontId="65" fillId="6" borderId="24" xfId="0" applyNumberFormat="1" applyFont="1" applyFill="1" applyBorder="1" applyAlignment="1">
      <alignment horizontal="right" vertical="center" wrapText="1"/>
    </xf>
    <xf numFmtId="0" fontId="65" fillId="0" borderId="24" xfId="308" applyFont="1" applyFill="1" applyBorder="1" applyAlignment="1">
      <alignment horizontal="center" vertical="center"/>
      <protection/>
    </xf>
    <xf numFmtId="0" fontId="65" fillId="0" borderId="24" xfId="308" applyFont="1" applyFill="1" applyBorder="1" applyAlignment="1">
      <alignment horizontal="center" vertical="center" wrapText="1"/>
      <protection/>
    </xf>
    <xf numFmtId="1" fontId="65" fillId="6" borderId="24" xfId="308" applyNumberFormat="1" applyFont="1" applyFill="1" applyBorder="1" applyAlignment="1">
      <alignment horizontal="right" vertical="center" wrapText="1"/>
      <protection/>
    </xf>
    <xf numFmtId="0" fontId="65" fillId="6" borderId="24" xfId="308" applyFont="1" applyFill="1" applyBorder="1" applyAlignment="1">
      <alignment horizontal="right" vertical="center" wrapText="1"/>
      <protection/>
    </xf>
    <xf numFmtId="167" fontId="65" fillId="0" borderId="24" xfId="308" applyNumberFormat="1" applyFont="1" applyFill="1" applyBorder="1" applyAlignment="1">
      <alignment horizontal="right" vertical="center" wrapText="1"/>
      <protection/>
    </xf>
    <xf numFmtId="0" fontId="65" fillId="0" borderId="24" xfId="308" applyFont="1" applyFill="1" applyBorder="1" applyAlignment="1">
      <alignment horizontal="right" vertical="center" wrapText="1"/>
      <protection/>
    </xf>
    <xf numFmtId="0" fontId="65" fillId="0" borderId="24" xfId="0" applyFont="1" applyFill="1" applyBorder="1" applyAlignment="1">
      <alignment horizontal="right" vertical="center"/>
    </xf>
    <xf numFmtId="167" fontId="69" fillId="57" borderId="24" xfId="0" applyNumberFormat="1" applyFont="1" applyFill="1" applyBorder="1" applyAlignment="1">
      <alignment horizontal="right" vertical="center" wrapText="1"/>
    </xf>
    <xf numFmtId="177" fontId="69" fillId="57" borderId="24" xfId="0" applyNumberFormat="1" applyFont="1" applyFill="1" applyBorder="1" applyAlignment="1">
      <alignment horizontal="right" vertical="center" wrapText="1"/>
    </xf>
    <xf numFmtId="49" fontId="75" fillId="0" borderId="24" xfId="0" applyNumberFormat="1" applyFont="1" applyFill="1" applyBorder="1" applyAlignment="1">
      <alignment horizontal="left" vertical="center" wrapText="1"/>
    </xf>
    <xf numFmtId="177" fontId="65" fillId="0" borderId="24" xfId="0" applyNumberFormat="1" applyFont="1" applyFill="1" applyBorder="1" applyAlignment="1" applyProtection="1">
      <alignment horizontal="right" vertical="center" wrapText="1"/>
      <protection/>
    </xf>
    <xf numFmtId="49" fontId="76" fillId="0" borderId="24" xfId="0" applyNumberFormat="1" applyFont="1" applyFill="1" applyBorder="1" applyAlignment="1">
      <alignment horizontal="left" vertical="center" wrapText="1"/>
    </xf>
    <xf numFmtId="177" fontId="65" fillId="57" borderId="24" xfId="0" applyNumberFormat="1" applyFont="1" applyFill="1" applyBorder="1" applyAlignment="1">
      <alignment horizontal="right" vertical="center" wrapText="1"/>
    </xf>
    <xf numFmtId="0" fontId="65" fillId="0" borderId="24" xfId="0" applyFont="1" applyFill="1" applyBorder="1" applyAlignment="1">
      <alignment horizontal="left" vertical="center" wrapText="1" shrinkToFit="1"/>
    </xf>
    <xf numFmtId="167" fontId="69" fillId="7" borderId="24" xfId="0" applyNumberFormat="1" applyFont="1" applyFill="1" applyBorder="1" applyAlignment="1">
      <alignment horizontal="right" vertical="center" wrapText="1"/>
    </xf>
    <xf numFmtId="167" fontId="69" fillId="4" borderId="24" xfId="0" applyNumberFormat="1" applyFont="1" applyFill="1" applyBorder="1" applyAlignment="1">
      <alignment horizontal="right" vertical="center" wrapText="1"/>
    </xf>
    <xf numFmtId="0" fontId="65" fillId="0" borderId="24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69" fillId="0" borderId="24" xfId="221" applyNumberFormat="1" applyFont="1" applyFill="1" applyBorder="1" applyAlignment="1">
      <alignment horizontal="left" vertical="center" wrapText="1"/>
      <protection locked="0"/>
    </xf>
    <xf numFmtId="0" fontId="65" fillId="0" borderId="24" xfId="221" applyNumberFormat="1" applyFont="1" applyFill="1" applyBorder="1" applyAlignment="1">
      <alignment horizontal="left" vertical="center" wrapText="1"/>
      <protection locked="0"/>
    </xf>
    <xf numFmtId="0" fontId="69" fillId="0" borderId="24" xfId="0" applyFont="1" applyFill="1" applyBorder="1" applyAlignment="1" applyProtection="1">
      <alignment horizontal="left" vertical="center" wrapText="1"/>
      <protection locked="0"/>
    </xf>
    <xf numFmtId="176" fontId="69" fillId="4" borderId="24" xfId="0" applyNumberFormat="1" applyFont="1" applyFill="1" applyBorder="1" applyAlignment="1">
      <alignment horizontal="right" vertical="center" wrapText="1"/>
    </xf>
    <xf numFmtId="0" fontId="65" fillId="0" borderId="24" xfId="0" applyFont="1" applyFill="1" applyBorder="1" applyAlignment="1" applyProtection="1">
      <alignment horizontal="left" vertical="center" wrapText="1"/>
      <protection locked="0"/>
    </xf>
    <xf numFmtId="176" fontId="65" fillId="4" borderId="24" xfId="0" applyNumberFormat="1" applyFont="1" applyFill="1" applyBorder="1" applyAlignment="1">
      <alignment horizontal="right" vertical="center" wrapText="1"/>
    </xf>
    <xf numFmtId="176" fontId="65" fillId="45" borderId="24" xfId="0" applyNumberFormat="1" applyFont="1" applyFill="1" applyBorder="1" applyAlignment="1">
      <alignment horizontal="right" vertical="center" wrapText="1"/>
    </xf>
    <xf numFmtId="49" fontId="69" fillId="0" borderId="24" xfId="0" applyNumberFormat="1" applyFont="1" applyFill="1" applyBorder="1" applyAlignment="1">
      <alignment horizontal="center" vertical="center"/>
    </xf>
    <xf numFmtId="49" fontId="65" fillId="0" borderId="24" xfId="0" applyNumberFormat="1" applyFont="1" applyFill="1" applyBorder="1" applyAlignment="1">
      <alignment horizontal="center" vertical="center"/>
    </xf>
    <xf numFmtId="167" fontId="70" fillId="0" borderId="24" xfId="0" applyNumberFormat="1" applyFont="1" applyFill="1" applyBorder="1" applyAlignment="1">
      <alignment horizontal="right" vertical="center" wrapText="1"/>
    </xf>
    <xf numFmtId="0" fontId="71" fillId="0" borderId="24" xfId="0" applyFont="1" applyFill="1" applyBorder="1" applyAlignment="1" applyProtection="1">
      <alignment horizontal="left" vertical="center" wrapText="1"/>
      <protection locked="0"/>
    </xf>
    <xf numFmtId="167" fontId="65" fillId="45" borderId="24" xfId="0" applyNumberFormat="1" applyFont="1" applyFill="1" applyBorder="1" applyAlignment="1">
      <alignment horizontal="right" vertical="center" wrapText="1"/>
    </xf>
    <xf numFmtId="167" fontId="69" fillId="45" borderId="24" xfId="0" applyNumberFormat="1" applyFont="1" applyFill="1" applyBorder="1" applyAlignment="1">
      <alignment horizontal="right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167" fontId="65" fillId="61" borderId="24" xfId="0" applyNumberFormat="1" applyFont="1" applyFill="1" applyBorder="1" applyAlignment="1">
      <alignment horizontal="right" vertical="center" wrapText="1"/>
    </xf>
    <xf numFmtId="177" fontId="65" fillId="62" borderId="24" xfId="0" applyNumberFormat="1" applyFont="1" applyFill="1" applyBorder="1" applyAlignment="1">
      <alignment horizontal="right" vertical="center" wrapText="1"/>
    </xf>
    <xf numFmtId="167" fontId="65" fillId="63" borderId="24" xfId="0" applyNumberFormat="1" applyFont="1" applyFill="1" applyBorder="1" applyAlignment="1">
      <alignment horizontal="right" vertical="center" wrapText="1"/>
    </xf>
    <xf numFmtId="1" fontId="65" fillId="64" borderId="24" xfId="0" applyNumberFormat="1" applyFont="1" applyFill="1" applyBorder="1" applyAlignment="1">
      <alignment horizontal="right" vertical="center" wrapText="1"/>
    </xf>
    <xf numFmtId="1" fontId="65" fillId="61" borderId="24" xfId="0" applyNumberFormat="1" applyFont="1" applyFill="1" applyBorder="1" applyAlignment="1">
      <alignment horizontal="right" vertical="center" wrapText="1"/>
    </xf>
    <xf numFmtId="1" fontId="69" fillId="64" borderId="24" xfId="0" applyNumberFormat="1" applyFont="1" applyFill="1" applyBorder="1" applyAlignment="1">
      <alignment horizontal="right" vertical="center" wrapText="1"/>
    </xf>
    <xf numFmtId="1" fontId="69" fillId="61" borderId="24" xfId="0" applyNumberFormat="1" applyFont="1" applyFill="1" applyBorder="1" applyAlignment="1">
      <alignment horizontal="right" vertical="center" wrapText="1"/>
    </xf>
    <xf numFmtId="167" fontId="69" fillId="61" borderId="24" xfId="0" applyNumberFormat="1" applyFont="1" applyFill="1" applyBorder="1" applyAlignment="1">
      <alignment horizontal="right" vertical="center" wrapText="1"/>
    </xf>
    <xf numFmtId="167" fontId="69" fillId="64" borderId="24" xfId="0" applyNumberFormat="1" applyFont="1" applyFill="1" applyBorder="1" applyAlignment="1">
      <alignment horizontal="right" vertical="center" wrapText="1"/>
    </xf>
    <xf numFmtId="0" fontId="65" fillId="64" borderId="24" xfId="0" applyFont="1" applyFill="1" applyBorder="1" applyAlignment="1">
      <alignment horizontal="center" vertical="center" wrapText="1"/>
    </xf>
    <xf numFmtId="0" fontId="65" fillId="61" borderId="24" xfId="0" applyFont="1" applyFill="1" applyBorder="1" applyAlignment="1">
      <alignment horizontal="center" vertical="center" wrapText="1"/>
    </xf>
    <xf numFmtId="0" fontId="65" fillId="61" borderId="0" xfId="0" applyFont="1" applyFill="1" applyAlignment="1">
      <alignment vertical="center"/>
    </xf>
    <xf numFmtId="175" fontId="65" fillId="65" borderId="24" xfId="299" applyNumberFormat="1" applyFont="1" applyFill="1" applyBorder="1" applyAlignment="1">
      <alignment horizontal="center" vertical="center" wrapText="1"/>
      <protection/>
    </xf>
    <xf numFmtId="175" fontId="65" fillId="61" borderId="24" xfId="299" applyNumberFormat="1" applyFont="1" applyFill="1" applyBorder="1" applyAlignment="1">
      <alignment horizontal="center" vertical="center" wrapText="1"/>
      <protection/>
    </xf>
    <xf numFmtId="179" fontId="69" fillId="65" borderId="24" xfId="0" applyNumberFormat="1" applyFont="1" applyFill="1" applyBorder="1" applyAlignment="1">
      <alignment horizontal="right" vertical="center" wrapText="1"/>
    </xf>
    <xf numFmtId="180" fontId="69" fillId="61" borderId="24" xfId="0" applyNumberFormat="1" applyFont="1" applyFill="1" applyBorder="1" applyAlignment="1">
      <alignment horizontal="right" vertical="center" wrapText="1"/>
    </xf>
    <xf numFmtId="179" fontId="65" fillId="65" borderId="24" xfId="0" applyNumberFormat="1" applyFont="1" applyFill="1" applyBorder="1" applyAlignment="1">
      <alignment horizontal="right" vertical="center" wrapText="1"/>
    </xf>
    <xf numFmtId="180" fontId="65" fillId="65" borderId="24" xfId="0" applyNumberFormat="1" applyFont="1" applyFill="1" applyBorder="1" applyAlignment="1">
      <alignment horizontal="right" vertical="center" wrapText="1"/>
    </xf>
    <xf numFmtId="179" fontId="69" fillId="61" borderId="24" xfId="0" applyNumberFormat="1" applyFont="1" applyFill="1" applyBorder="1" applyAlignment="1">
      <alignment horizontal="right" vertical="center" wrapText="1"/>
    </xf>
    <xf numFmtId="167" fontId="69" fillId="66" borderId="24" xfId="0" applyNumberFormat="1" applyFont="1" applyFill="1" applyBorder="1" applyAlignment="1">
      <alignment horizontal="right" vertical="center" wrapText="1"/>
    </xf>
    <xf numFmtId="0" fontId="66" fillId="64" borderId="24" xfId="308" applyFont="1" applyFill="1" applyBorder="1" applyAlignment="1">
      <alignment horizontal="center" vertical="center" wrapText="1"/>
      <protection/>
    </xf>
    <xf numFmtId="0" fontId="66" fillId="64" borderId="24" xfId="0" applyFont="1" applyFill="1" applyBorder="1" applyAlignment="1">
      <alignment horizontal="center" vertical="center" wrapText="1"/>
    </xf>
    <xf numFmtId="0" fontId="66" fillId="61" borderId="24" xfId="0" applyFont="1" applyFill="1" applyBorder="1" applyAlignment="1">
      <alignment horizontal="center" vertical="center" wrapText="1"/>
    </xf>
    <xf numFmtId="3" fontId="69" fillId="0" borderId="24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87" fillId="0" borderId="24" xfId="0" applyNumberFormat="1" applyFont="1" applyFill="1" applyBorder="1" applyAlignment="1">
      <alignment horizontal="center" vertical="center" wrapText="1" shrinkToFit="1"/>
    </xf>
    <xf numFmtId="0" fontId="87" fillId="0" borderId="24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left" vertical="center" wrapText="1" shrinkToFit="1"/>
    </xf>
    <xf numFmtId="3" fontId="69" fillId="0" borderId="0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vertical="center" wrapText="1"/>
    </xf>
    <xf numFmtId="3" fontId="87" fillId="0" borderId="24" xfId="0" applyNumberFormat="1" applyFont="1" applyFill="1" applyBorder="1" applyAlignment="1">
      <alignment horizontal="center" vertical="center" wrapText="1" shrinkToFit="1"/>
    </xf>
    <xf numFmtId="0" fontId="69" fillId="0" borderId="0" xfId="0" applyFont="1" applyFill="1" applyAlignment="1">
      <alignment horizontal="right" vertical="center"/>
    </xf>
    <xf numFmtId="3" fontId="69" fillId="0" borderId="24" xfId="0" applyNumberFormat="1" applyFont="1" applyFill="1" applyBorder="1" applyAlignment="1">
      <alignment horizontal="center" vertical="center" wrapText="1" shrinkToFit="1"/>
    </xf>
    <xf numFmtId="0" fontId="69" fillId="0" borderId="24" xfId="0" applyNumberFormat="1" applyFont="1" applyFill="1" applyBorder="1" applyAlignment="1">
      <alignment horizontal="center" vertical="center" wrapText="1" shrinkToFit="1"/>
    </xf>
    <xf numFmtId="169" fontId="69" fillId="0" borderId="24" xfId="0" applyNumberFormat="1" applyFont="1" applyFill="1" applyBorder="1" applyAlignment="1">
      <alignment horizontal="right" vertical="center" wrapText="1"/>
    </xf>
    <xf numFmtId="175" fontId="69" fillId="57" borderId="24" xfId="0" applyNumberFormat="1" applyFont="1" applyFill="1" applyBorder="1" applyAlignment="1">
      <alignment horizontal="right" vertical="center" wrapText="1"/>
    </xf>
    <xf numFmtId="175" fontId="69" fillId="45" borderId="24" xfId="0" applyNumberFormat="1" applyFont="1" applyFill="1" applyBorder="1" applyAlignment="1">
      <alignment horizontal="righ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/>
    </xf>
    <xf numFmtId="0" fontId="89" fillId="0" borderId="0" xfId="0" applyFont="1" applyFill="1" applyAlignment="1">
      <alignment horizontal="center" vertical="center"/>
    </xf>
    <xf numFmtId="0" fontId="69" fillId="0" borderId="24" xfId="0" applyNumberFormat="1" applyFont="1" applyFill="1" applyBorder="1" applyAlignment="1">
      <alignment/>
    </xf>
    <xf numFmtId="0" fontId="65" fillId="0" borderId="0" xfId="298" applyFont="1">
      <alignment/>
      <protection/>
    </xf>
    <xf numFmtId="0" fontId="1" fillId="0" borderId="0" xfId="298">
      <alignment/>
      <protection/>
    </xf>
    <xf numFmtId="0" fontId="65" fillId="0" borderId="0" xfId="298" applyFont="1" applyAlignment="1">
      <alignment/>
      <protection/>
    </xf>
    <xf numFmtId="0" fontId="81" fillId="0" borderId="0" xfId="298" applyFont="1" applyAlignment="1">
      <alignment/>
      <protection/>
    </xf>
    <xf numFmtId="0" fontId="81" fillId="0" borderId="0" xfId="298" applyFont="1" applyAlignment="1">
      <alignment horizontal="center"/>
      <protection/>
    </xf>
    <xf numFmtId="0" fontId="65" fillId="0" borderId="0" xfId="298" applyFont="1" applyAlignment="1">
      <alignment horizontal="center"/>
      <protection/>
    </xf>
    <xf numFmtId="0" fontId="66" fillId="0" borderId="3" xfId="298" applyFont="1" applyBorder="1" applyAlignment="1">
      <alignment horizontal="center" vertical="center"/>
      <protection/>
    </xf>
    <xf numFmtId="0" fontId="66" fillId="0" borderId="3" xfId="298" applyFont="1" applyBorder="1" applyAlignment="1">
      <alignment horizontal="center" vertical="center" wrapText="1"/>
      <protection/>
    </xf>
    <xf numFmtId="0" fontId="82" fillId="0" borderId="3" xfId="298" applyFont="1" applyBorder="1" applyAlignment="1">
      <alignment horizontal="left" wrapText="1"/>
      <protection/>
    </xf>
    <xf numFmtId="3" fontId="82" fillId="0" borderId="3" xfId="298" applyNumberFormat="1" applyFont="1" applyBorder="1" applyAlignment="1">
      <alignment horizontal="right" vertical="center"/>
      <protection/>
    </xf>
    <xf numFmtId="175" fontId="82" fillId="0" borderId="3" xfId="298" applyNumberFormat="1" applyFont="1" applyBorder="1" applyAlignment="1">
      <alignment horizontal="right" vertical="center"/>
      <protection/>
    </xf>
    <xf numFmtId="3" fontId="65" fillId="0" borderId="0" xfId="298" applyNumberFormat="1" applyFont="1" applyBorder="1" applyAlignment="1">
      <alignment horizontal="right" vertical="center"/>
      <protection/>
    </xf>
    <xf numFmtId="0" fontId="66" fillId="0" borderId="3" xfId="298" applyFont="1" applyBorder="1" applyAlignment="1">
      <alignment horizontal="left" vertical="center" wrapText="1"/>
      <protection/>
    </xf>
    <xf numFmtId="3" fontId="66" fillId="0" borderId="3" xfId="298" applyNumberFormat="1" applyFont="1" applyBorder="1" applyAlignment="1">
      <alignment horizontal="right" vertical="center"/>
      <protection/>
    </xf>
    <xf numFmtId="175" fontId="66" fillId="0" borderId="3" xfId="298" applyNumberFormat="1" applyFont="1" applyBorder="1" applyAlignment="1">
      <alignment horizontal="right" vertical="center"/>
      <protection/>
    </xf>
    <xf numFmtId="0" fontId="66" fillId="0" borderId="3" xfId="298" applyFont="1" applyBorder="1" applyAlignment="1">
      <alignment horizontal="left" vertical="center"/>
      <protection/>
    </xf>
    <xf numFmtId="3" fontId="66" fillId="0" borderId="3" xfId="298" applyNumberFormat="1" applyFont="1" applyBorder="1" applyAlignment="1">
      <alignment horizontal="right" vertical="center"/>
      <protection/>
    </xf>
    <xf numFmtId="0" fontId="66" fillId="0" borderId="3" xfId="298" applyFont="1" applyBorder="1">
      <alignment/>
      <protection/>
    </xf>
    <xf numFmtId="0" fontId="66" fillId="0" borderId="3" xfId="298" applyFont="1" applyBorder="1" applyAlignment="1">
      <alignment horizontal="right"/>
      <protection/>
    </xf>
    <xf numFmtId="1" fontId="66" fillId="0" borderId="3" xfId="298" applyNumberFormat="1" applyFont="1" applyBorder="1" applyAlignment="1">
      <alignment horizontal="right" vertical="center"/>
      <protection/>
    </xf>
    <xf numFmtId="0" fontId="66" fillId="0" borderId="3" xfId="298" applyFont="1" applyBorder="1" applyAlignment="1">
      <alignment horizontal="right" vertical="center"/>
      <protection/>
    </xf>
    <xf numFmtId="0" fontId="82" fillId="0" borderId="3" xfId="298" applyFont="1" applyBorder="1">
      <alignment/>
      <protection/>
    </xf>
    <xf numFmtId="0" fontId="82" fillId="0" borderId="3" xfId="298" applyFont="1" applyBorder="1" applyAlignment="1">
      <alignment horizontal="right" vertical="center"/>
      <protection/>
    </xf>
    <xf numFmtId="1" fontId="82" fillId="0" borderId="3" xfId="298" applyNumberFormat="1" applyFont="1" applyBorder="1" applyAlignment="1">
      <alignment horizontal="right" vertical="center"/>
      <protection/>
    </xf>
    <xf numFmtId="3" fontId="69" fillId="0" borderId="0" xfId="298" applyNumberFormat="1" applyFont="1" applyBorder="1" applyAlignment="1">
      <alignment horizontal="right" vertical="center"/>
      <protection/>
    </xf>
    <xf numFmtId="0" fontId="65" fillId="0" borderId="0" xfId="298" applyFont="1" applyBorder="1">
      <alignment/>
      <protection/>
    </xf>
    <xf numFmtId="0" fontId="81" fillId="0" borderId="0" xfId="298" applyFont="1" applyBorder="1">
      <alignment/>
      <protection/>
    </xf>
    <xf numFmtId="0" fontId="81" fillId="0" borderId="0" xfId="298" applyFont="1">
      <alignment/>
      <protection/>
    </xf>
    <xf numFmtId="0" fontId="66" fillId="0" borderId="3" xfId="298" applyFont="1" applyBorder="1" applyAlignment="1">
      <alignment horizontal="center" vertical="center" textRotation="90" wrapText="1"/>
      <protection/>
    </xf>
    <xf numFmtId="0" fontId="66" fillId="0" borderId="3" xfId="298" applyFont="1" applyBorder="1" applyAlignment="1">
      <alignment horizontal="left" vertical="center"/>
      <protection/>
    </xf>
    <xf numFmtId="3" fontId="66" fillId="0" borderId="3" xfId="298" applyNumberFormat="1" applyFont="1" applyBorder="1" applyAlignment="1">
      <alignment horizontal="right" vertical="center" wrapText="1"/>
      <protection/>
    </xf>
    <xf numFmtId="3" fontId="65" fillId="0" borderId="0" xfId="298" applyNumberFormat="1" applyFont="1" applyBorder="1" applyAlignment="1">
      <alignment horizontal="right" vertical="center" wrapText="1"/>
      <protection/>
    </xf>
    <xf numFmtId="177" fontId="66" fillId="0" borderId="3" xfId="298" applyNumberFormat="1" applyFont="1" applyFill="1" applyBorder="1" applyAlignment="1">
      <alignment horizontal="right" vertical="center" wrapText="1"/>
      <protection/>
    </xf>
    <xf numFmtId="167" fontId="66" fillId="0" borderId="3" xfId="298" applyNumberFormat="1" applyFont="1" applyFill="1" applyBorder="1" applyAlignment="1">
      <alignment horizontal="right" vertical="center" wrapText="1"/>
      <protection/>
    </xf>
    <xf numFmtId="0" fontId="82" fillId="0" borderId="3" xfId="298" applyFont="1" applyBorder="1" applyAlignment="1">
      <alignment horizontal="left" vertical="center"/>
      <protection/>
    </xf>
    <xf numFmtId="3" fontId="69" fillId="0" borderId="0" xfId="298" applyNumberFormat="1" applyFont="1" applyBorder="1" applyAlignment="1">
      <alignment horizontal="right" vertical="center" wrapText="1"/>
      <protection/>
    </xf>
    <xf numFmtId="0" fontId="81" fillId="0" borderId="0" xfId="298" applyFont="1" applyAlignment="1">
      <alignment horizontal="left"/>
      <protection/>
    </xf>
    <xf numFmtId="0" fontId="65" fillId="0" borderId="0" xfId="298" applyFont="1" applyAlignment="1">
      <alignment horizontal="right"/>
      <protection/>
    </xf>
    <xf numFmtId="0" fontId="66" fillId="0" borderId="3" xfId="298" applyFont="1" applyBorder="1" applyAlignment="1">
      <alignment horizontal="center"/>
      <protection/>
    </xf>
    <xf numFmtId="0" fontId="66" fillId="0" borderId="3" xfId="298" applyFont="1" applyBorder="1" applyAlignment="1">
      <alignment wrapText="1"/>
      <protection/>
    </xf>
    <xf numFmtId="3" fontId="66" fillId="0" borderId="3" xfId="298" applyNumberFormat="1" applyFont="1" applyFill="1" applyBorder="1" applyAlignment="1">
      <alignment horizontal="center" vertical="center"/>
      <protection/>
    </xf>
    <xf numFmtId="3" fontId="66" fillId="0" borderId="3" xfId="298" applyNumberFormat="1" applyFont="1" applyBorder="1" applyAlignment="1">
      <alignment horizontal="center" vertical="center"/>
      <protection/>
    </xf>
    <xf numFmtId="175" fontId="66" fillId="0" borderId="3" xfId="298" applyNumberFormat="1" applyFont="1" applyBorder="1" applyAlignment="1">
      <alignment horizontal="center" vertical="center"/>
      <protection/>
    </xf>
    <xf numFmtId="0" fontId="81" fillId="0" borderId="0" xfId="298" applyFont="1" applyAlignment="1">
      <alignment horizontal="right"/>
      <protection/>
    </xf>
    <xf numFmtId="0" fontId="66" fillId="0" borderId="3" xfId="298" applyFont="1" applyBorder="1" applyAlignment="1">
      <alignment horizontal="center" wrapText="1"/>
      <protection/>
    </xf>
    <xf numFmtId="1" fontId="66" fillId="0" borderId="3" xfId="298" applyNumberFormat="1" applyFont="1" applyBorder="1" applyAlignment="1">
      <alignment horizontal="center" vertical="center"/>
      <protection/>
    </xf>
    <xf numFmtId="49" fontId="66" fillId="0" borderId="3" xfId="298" applyNumberFormat="1" applyFont="1" applyBorder="1" applyAlignment="1">
      <alignment wrapText="1"/>
      <protection/>
    </xf>
    <xf numFmtId="49" fontId="66" fillId="0" borderId="3" xfId="298" applyNumberFormat="1" applyFont="1" applyFill="1" applyBorder="1" applyAlignment="1">
      <alignment wrapText="1"/>
      <protection/>
    </xf>
    <xf numFmtId="49" fontId="66" fillId="0" borderId="3" xfId="298" applyNumberFormat="1" applyFont="1" applyBorder="1">
      <alignment/>
      <protection/>
    </xf>
    <xf numFmtId="1" fontId="66" fillId="0" borderId="3" xfId="298" applyNumberFormat="1" applyFont="1" applyBorder="1" applyAlignment="1">
      <alignment horizontal="center"/>
      <protection/>
    </xf>
    <xf numFmtId="3" fontId="66" fillId="0" borderId="3" xfId="298" applyNumberFormat="1" applyFont="1" applyBorder="1" applyAlignment="1">
      <alignment horizontal="center" vertical="center" wrapText="1"/>
      <protection/>
    </xf>
    <xf numFmtId="49" fontId="66" fillId="0" borderId="3" xfId="298" applyNumberFormat="1" applyFont="1" applyBorder="1" applyAlignment="1">
      <alignment horizontal="left" vertical="center" wrapText="1"/>
      <protection/>
    </xf>
    <xf numFmtId="0" fontId="90" fillId="0" borderId="0" xfId="298" applyFont="1">
      <alignment/>
      <protection/>
    </xf>
    <xf numFmtId="0" fontId="65" fillId="0" borderId="0" xfId="298" applyFont="1" applyBorder="1" applyAlignment="1">
      <alignment/>
      <protection/>
    </xf>
    <xf numFmtId="4" fontId="66" fillId="0" borderId="3" xfId="298" applyNumberFormat="1" applyFont="1" applyBorder="1" applyAlignment="1">
      <alignment horizontal="center" vertical="center" wrapText="1"/>
      <protection/>
    </xf>
    <xf numFmtId="49" fontId="65" fillId="0" borderId="0" xfId="298" applyNumberFormat="1" applyFont="1" applyBorder="1" applyAlignment="1">
      <alignment wrapText="1"/>
      <protection/>
    </xf>
    <xf numFmtId="0" fontId="69" fillId="0" borderId="0" xfId="298" applyFont="1" applyBorder="1">
      <alignment/>
      <protection/>
    </xf>
    <xf numFmtId="0" fontId="87" fillId="0" borderId="0" xfId="298" applyFont="1" applyAlignment="1">
      <alignment horizontal="center"/>
      <protection/>
    </xf>
    <xf numFmtId="0" fontId="81" fillId="0" borderId="0" xfId="298" applyFont="1">
      <alignment/>
      <protection/>
    </xf>
    <xf numFmtId="0" fontId="87" fillId="0" borderId="0" xfId="298" applyFont="1" applyFill="1" applyBorder="1" applyAlignment="1">
      <alignment horizontal="center" vertical="center"/>
      <protection/>
    </xf>
    <xf numFmtId="0" fontId="90" fillId="0" borderId="0" xfId="298" applyFont="1" applyFill="1">
      <alignment/>
      <protection/>
    </xf>
    <xf numFmtId="0" fontId="87" fillId="0" borderId="0" xfId="298" applyFont="1" applyFill="1" applyBorder="1" applyAlignment="1">
      <alignment horizontal="center"/>
      <protection/>
    </xf>
    <xf numFmtId="0" fontId="81" fillId="0" borderId="0" xfId="298" applyFont="1" applyFill="1">
      <alignment/>
      <protection/>
    </xf>
    <xf numFmtId="0" fontId="81" fillId="0" borderId="3" xfId="298" applyFont="1" applyFill="1" applyBorder="1" applyAlignment="1">
      <alignment horizontal="center" vertical="center"/>
      <protection/>
    </xf>
    <xf numFmtId="0" fontId="81" fillId="0" borderId="3" xfId="298" applyFont="1" applyFill="1" applyBorder="1" applyAlignment="1">
      <alignment horizontal="center" vertical="center" wrapText="1"/>
      <protection/>
    </xf>
    <xf numFmtId="0" fontId="81" fillId="0" borderId="3" xfId="298" applyFont="1" applyFill="1" applyBorder="1" applyAlignment="1">
      <alignment horizontal="center" vertical="center" wrapText="1"/>
      <protection/>
    </xf>
    <xf numFmtId="0" fontId="87" fillId="0" borderId="3" xfId="298" applyFont="1" applyFill="1" applyBorder="1" applyAlignment="1">
      <alignment horizontal="center" vertical="center"/>
      <protection/>
    </xf>
    <xf numFmtId="0" fontId="87" fillId="0" borderId="3" xfId="298" applyFont="1" applyFill="1" applyBorder="1">
      <alignment/>
      <protection/>
    </xf>
    <xf numFmtId="0" fontId="81" fillId="0" borderId="3" xfId="298" applyFont="1" applyFill="1" applyBorder="1">
      <alignment/>
      <protection/>
    </xf>
    <xf numFmtId="0" fontId="81" fillId="0" borderId="3" xfId="298" applyFont="1" applyFill="1" applyBorder="1">
      <alignment/>
      <protection/>
    </xf>
    <xf numFmtId="0" fontId="91" fillId="0" borderId="3" xfId="298" applyFont="1" applyFill="1" applyBorder="1">
      <alignment/>
      <protection/>
    </xf>
    <xf numFmtId="1" fontId="87" fillId="0" borderId="3" xfId="298" applyNumberFormat="1" applyFont="1" applyFill="1" applyBorder="1" applyAlignment="1">
      <alignment horizontal="right" vertical="center"/>
      <protection/>
    </xf>
    <xf numFmtId="1" fontId="87" fillId="0" borderId="3" xfId="298" applyNumberFormat="1" applyFont="1" applyFill="1" applyBorder="1" applyAlignment="1">
      <alignment horizontal="right" vertical="center"/>
      <protection/>
    </xf>
    <xf numFmtId="1" fontId="81" fillId="0" borderId="3" xfId="298" applyNumberFormat="1" applyFont="1" applyFill="1" applyBorder="1" applyAlignment="1">
      <alignment horizontal="right" vertical="center"/>
      <protection/>
    </xf>
    <xf numFmtId="0" fontId="81" fillId="0" borderId="3" xfId="298" applyFont="1" applyFill="1" applyBorder="1" applyAlignment="1">
      <alignment wrapText="1"/>
      <protection/>
    </xf>
    <xf numFmtId="1" fontId="81" fillId="0" borderId="3" xfId="307" applyNumberFormat="1" applyFont="1" applyFill="1" applyBorder="1" applyAlignment="1">
      <alignment horizontal="right" vertical="center"/>
      <protection/>
    </xf>
    <xf numFmtId="0" fontId="81" fillId="0" borderId="3" xfId="298" applyFont="1" applyFill="1" applyBorder="1" applyAlignment="1">
      <alignment vertical="center"/>
      <protection/>
    </xf>
    <xf numFmtId="0" fontId="87" fillId="0" borderId="3" xfId="298" applyFont="1" applyFill="1" applyBorder="1" applyAlignment="1">
      <alignment horizontal="left" vertical="center" wrapText="1"/>
      <protection/>
    </xf>
    <xf numFmtId="0" fontId="81" fillId="0" borderId="3" xfId="298" applyFont="1" applyFill="1" applyBorder="1" applyAlignment="1">
      <alignment horizontal="left" vertical="center" wrapText="1"/>
      <protection/>
    </xf>
    <xf numFmtId="0" fontId="81" fillId="0" borderId="3" xfId="298" applyFont="1" applyFill="1" applyBorder="1" applyAlignment="1">
      <alignment horizontal="right"/>
      <protection/>
    </xf>
    <xf numFmtId="0" fontId="81" fillId="0" borderId="3" xfId="298" applyFont="1" applyFill="1" applyBorder="1" applyAlignment="1">
      <alignment horizontal="right" wrapText="1"/>
      <protection/>
    </xf>
    <xf numFmtId="0" fontId="81" fillId="0" borderId="3" xfId="298" applyFont="1" applyFill="1" applyBorder="1" applyAlignment="1">
      <alignment horizontal="left"/>
      <protection/>
    </xf>
    <xf numFmtId="0" fontId="81" fillId="0" borderId="0" xfId="298" applyFont="1" applyFill="1">
      <alignment/>
      <protection/>
    </xf>
    <xf numFmtId="178" fontId="65" fillId="0" borderId="24" xfId="308" applyNumberFormat="1" applyFont="1" applyFill="1" applyBorder="1" applyAlignment="1">
      <alignment horizontal="right" vertical="center" wrapText="1"/>
      <protection/>
    </xf>
    <xf numFmtId="0" fontId="81" fillId="67" borderId="3" xfId="298" applyFont="1" applyFill="1" applyBorder="1">
      <alignment/>
      <protection/>
    </xf>
    <xf numFmtId="0" fontId="87" fillId="67" borderId="3" xfId="298" applyFont="1" applyFill="1" applyBorder="1">
      <alignment/>
      <protection/>
    </xf>
    <xf numFmtId="1" fontId="87" fillId="67" borderId="3" xfId="298" applyNumberFormat="1" applyFont="1" applyFill="1" applyBorder="1" applyAlignment="1">
      <alignment horizontal="right"/>
      <protection/>
    </xf>
    <xf numFmtId="0" fontId="81" fillId="67" borderId="3" xfId="298" applyFont="1" applyFill="1" applyBorder="1">
      <alignment/>
      <protection/>
    </xf>
    <xf numFmtId="1" fontId="81" fillId="67" borderId="3" xfId="298" applyNumberFormat="1" applyFont="1" applyFill="1" applyBorder="1" applyAlignment="1">
      <alignment horizontal="right"/>
      <protection/>
    </xf>
    <xf numFmtId="0" fontId="87" fillId="0" borderId="27" xfId="298" applyFont="1" applyFill="1" applyBorder="1">
      <alignment/>
      <protection/>
    </xf>
    <xf numFmtId="0" fontId="81" fillId="0" borderId="27" xfId="298" applyFont="1" applyFill="1" applyBorder="1">
      <alignment/>
      <protection/>
    </xf>
    <xf numFmtId="167" fontId="65" fillId="62" borderId="24" xfId="0" applyNumberFormat="1" applyFont="1" applyFill="1" applyBorder="1" applyAlignment="1">
      <alignment horizontal="right" vertical="center" wrapText="1"/>
    </xf>
    <xf numFmtId="167" fontId="69" fillId="62" borderId="24" xfId="0" applyNumberFormat="1" applyFont="1" applyFill="1" applyBorder="1" applyAlignment="1">
      <alignment horizontal="right" vertical="center" wrapText="1"/>
    </xf>
    <xf numFmtId="178" fontId="65" fillId="0" borderId="28" xfId="357" applyNumberFormat="1" applyFont="1" applyFill="1" applyBorder="1" applyAlignment="1" applyProtection="1">
      <alignment horizontal="right" vertical="center" wrapText="1"/>
      <protection/>
    </xf>
    <xf numFmtId="0" fontId="65" fillId="0" borderId="24" xfId="0" applyFont="1" applyFill="1" applyBorder="1" applyAlignment="1">
      <alignment horizontal="right"/>
    </xf>
    <xf numFmtId="0" fontId="65" fillId="0" borderId="24" xfId="0" applyFont="1" applyFill="1" applyBorder="1" applyAlignment="1">
      <alignment horizontal="right" wrapText="1"/>
    </xf>
    <xf numFmtId="167" fontId="65" fillId="68" borderId="24" xfId="0" applyNumberFormat="1" applyFont="1" applyFill="1" applyBorder="1" applyAlignment="1">
      <alignment horizontal="right" vertical="center" wrapText="1"/>
    </xf>
    <xf numFmtId="0" fontId="87" fillId="0" borderId="3" xfId="298" applyFont="1" applyFill="1" applyBorder="1" applyAlignment="1">
      <alignment wrapText="1"/>
      <protection/>
    </xf>
    <xf numFmtId="0" fontId="87" fillId="0" borderId="3" xfId="298" applyNumberFormat="1" applyFont="1" applyFill="1" applyBorder="1">
      <alignment/>
      <protection/>
    </xf>
    <xf numFmtId="1" fontId="87" fillId="0" borderId="27" xfId="298" applyNumberFormat="1" applyFont="1" applyFill="1" applyBorder="1" applyAlignment="1">
      <alignment horizontal="right"/>
      <protection/>
    </xf>
    <xf numFmtId="0" fontId="81" fillId="0" borderId="24" xfId="297" applyFont="1" applyFill="1" applyBorder="1">
      <alignment/>
      <protection/>
    </xf>
    <xf numFmtId="0" fontId="87" fillId="0" borderId="24" xfId="297" applyFont="1" applyFill="1" applyBorder="1">
      <alignment/>
      <protection/>
    </xf>
    <xf numFmtId="1" fontId="81" fillId="0" borderId="24" xfId="297" applyNumberFormat="1" applyFont="1" applyFill="1" applyBorder="1" applyAlignment="1">
      <alignment horizontal="right"/>
      <protection/>
    </xf>
    <xf numFmtId="1" fontId="87" fillId="0" borderId="3" xfId="298" applyNumberFormat="1" applyFont="1" applyFill="1" applyBorder="1" applyAlignment="1">
      <alignment horizontal="right"/>
      <protection/>
    </xf>
    <xf numFmtId="1" fontId="81" fillId="0" borderId="3" xfId="298" applyNumberFormat="1" applyFont="1" applyFill="1" applyBorder="1" applyAlignment="1">
      <alignment horizontal="right"/>
      <protection/>
    </xf>
    <xf numFmtId="1" fontId="81" fillId="0" borderId="27" xfId="298" applyNumberFormat="1" applyFont="1" applyFill="1" applyBorder="1" applyAlignment="1">
      <alignment horizontal="right"/>
      <protection/>
    </xf>
    <xf numFmtId="0" fontId="81" fillId="0" borderId="27" xfId="298" applyFont="1" applyFill="1" applyBorder="1">
      <alignment/>
      <protection/>
    </xf>
    <xf numFmtId="1" fontId="87" fillId="0" borderId="24" xfId="297" applyNumberFormat="1" applyFont="1" applyFill="1" applyBorder="1" applyAlignment="1">
      <alignment horizontal="right"/>
      <protection/>
    </xf>
    <xf numFmtId="0" fontId="81" fillId="0" borderId="24" xfId="297" applyFont="1" applyFill="1" applyBorder="1" applyAlignment="1">
      <alignment horizontal="left" wrapText="1"/>
      <protection/>
    </xf>
    <xf numFmtId="0" fontId="87" fillId="0" borderId="24" xfId="297" applyFont="1" applyFill="1" applyBorder="1" applyAlignment="1">
      <alignment horizontal="left" vertical="center" wrapText="1"/>
      <protection/>
    </xf>
    <xf numFmtId="0" fontId="87" fillId="0" borderId="24" xfId="297" applyFont="1" applyFill="1" applyBorder="1" applyAlignment="1">
      <alignment horizontal="center" vertical="center" wrapText="1"/>
      <protection/>
    </xf>
    <xf numFmtId="1" fontId="87" fillId="0" borderId="24" xfId="297" applyNumberFormat="1" applyFont="1" applyFill="1" applyBorder="1" applyAlignment="1">
      <alignment horizontal="right" vertical="center" wrapText="1"/>
      <protection/>
    </xf>
    <xf numFmtId="0" fontId="87" fillId="0" borderId="24" xfId="297" applyFont="1" applyFill="1" applyBorder="1" applyAlignment="1">
      <alignment horizontal="center"/>
      <protection/>
    </xf>
    <xf numFmtId="0" fontId="87" fillId="0" borderId="24" xfId="298" applyFont="1" applyFill="1" applyBorder="1">
      <alignment/>
      <protection/>
    </xf>
    <xf numFmtId="0" fontId="69" fillId="0" borderId="0" xfId="0" applyFont="1" applyFill="1" applyBorder="1" applyAlignment="1">
      <alignment horizontal="center" vertical="center"/>
    </xf>
    <xf numFmtId="0" fontId="69" fillId="0" borderId="24" xfId="299" applyNumberFormat="1" applyFont="1" applyFill="1" applyBorder="1" applyAlignment="1">
      <alignment horizontal="center" vertical="center" wrapText="1"/>
      <protection/>
    </xf>
    <xf numFmtId="0" fontId="69" fillId="0" borderId="24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>
      <alignment horizontal="left" vertical="center" wrapText="1"/>
    </xf>
    <xf numFmtId="175" fontId="6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9" fillId="0" borderId="24" xfId="308" applyFont="1" applyFill="1" applyBorder="1" applyAlignment="1">
      <alignment horizontal="center" vertical="center"/>
      <protection/>
    </xf>
    <xf numFmtId="0" fontId="65" fillId="0" borderId="23" xfId="0" applyFont="1" applyFill="1" applyBorder="1" applyAlignment="1">
      <alignment horizontal="righ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justify"/>
    </xf>
    <xf numFmtId="0" fontId="69" fillId="0" borderId="24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 wrapText="1"/>
    </xf>
    <xf numFmtId="0" fontId="65" fillId="64" borderId="24" xfId="0" applyFont="1" applyFill="1" applyBorder="1" applyAlignment="1">
      <alignment horizontal="center" vertical="center" wrapText="1"/>
    </xf>
    <xf numFmtId="0" fontId="65" fillId="61" borderId="24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/>
    </xf>
    <xf numFmtId="0" fontId="69" fillId="0" borderId="24" xfId="308" applyFont="1" applyFill="1" applyBorder="1" applyAlignment="1">
      <alignment horizontal="left" vertical="center" wrapText="1"/>
      <protection/>
    </xf>
    <xf numFmtId="0" fontId="69" fillId="0" borderId="0" xfId="308" applyFont="1" applyFill="1" applyBorder="1" applyAlignment="1">
      <alignment horizontal="center" vertical="center"/>
      <protection/>
    </xf>
    <xf numFmtId="0" fontId="65" fillId="0" borderId="24" xfId="308" applyFont="1" applyFill="1" applyBorder="1" applyAlignment="1">
      <alignment horizontal="center" vertical="center"/>
      <protection/>
    </xf>
    <xf numFmtId="0" fontId="65" fillId="0" borderId="24" xfId="308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/>
    </xf>
    <xf numFmtId="0" fontId="69" fillId="0" borderId="24" xfId="308" applyFont="1" applyFill="1" applyBorder="1" applyAlignment="1">
      <alignment horizontal="right" vertical="center" wrapText="1"/>
      <protection/>
    </xf>
    <xf numFmtId="0" fontId="65" fillId="0" borderId="24" xfId="0" applyFont="1" applyFill="1" applyBorder="1" applyAlignment="1">
      <alignment horizontal="center" vertical="center" wrapText="1" shrinkToFit="1"/>
    </xf>
    <xf numFmtId="0" fontId="69" fillId="0" borderId="24" xfId="308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0" fontId="69" fillId="0" borderId="0" xfId="299" applyNumberFormat="1" applyFont="1" applyFill="1" applyBorder="1" applyAlignment="1">
      <alignment horizontal="center" vertical="center" wrapText="1"/>
      <protection/>
    </xf>
    <xf numFmtId="0" fontId="65" fillId="0" borderId="24" xfId="299" applyNumberFormat="1" applyFont="1" applyFill="1" applyBorder="1" applyAlignment="1">
      <alignment horizontal="center" vertical="center" wrapText="1"/>
      <protection/>
    </xf>
    <xf numFmtId="179" fontId="65" fillId="0" borderId="24" xfId="0" applyNumberFormat="1" applyFont="1" applyFill="1" applyBorder="1" applyAlignment="1">
      <alignment horizontal="center" vertical="center" wrapText="1"/>
    </xf>
    <xf numFmtId="179" fontId="69" fillId="65" borderId="24" xfId="0" applyNumberFormat="1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left" vertical="center" wrapText="1"/>
    </xf>
    <xf numFmtId="179" fontId="65" fillId="65" borderId="24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0" borderId="24" xfId="0" applyNumberFormat="1" applyFont="1" applyFill="1" applyBorder="1" applyAlignment="1">
      <alignment horizontal="center" vertical="center" wrapText="1"/>
    </xf>
    <xf numFmtId="179" fontId="69" fillId="57" borderId="24" xfId="0" applyNumberFormat="1" applyFont="1" applyFill="1" applyBorder="1" applyAlignment="1">
      <alignment horizontal="center" vertical="center" wrapText="1"/>
    </xf>
    <xf numFmtId="3" fontId="69" fillId="0" borderId="24" xfId="0" applyNumberFormat="1" applyFont="1" applyFill="1" applyBorder="1" applyAlignment="1">
      <alignment horizontal="center" vertical="center" wrapText="1"/>
    </xf>
    <xf numFmtId="49" fontId="65" fillId="0" borderId="24" xfId="0" applyNumberFormat="1" applyFont="1" applyFill="1" applyBorder="1" applyAlignment="1">
      <alignment horizontal="left" vertical="center" wrapText="1"/>
    </xf>
    <xf numFmtId="3" fontId="65" fillId="0" borderId="24" xfId="0" applyNumberFormat="1" applyFont="1" applyFill="1" applyBorder="1" applyAlignment="1">
      <alignment horizontal="center" vertical="center" wrapText="1"/>
    </xf>
    <xf numFmtId="175" fontId="65" fillId="0" borderId="24" xfId="0" applyNumberFormat="1" applyFont="1" applyFill="1" applyBorder="1" applyAlignment="1">
      <alignment horizontal="center" vertical="center" wrapText="1"/>
    </xf>
    <xf numFmtId="0" fontId="65" fillId="0" borderId="24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3" fontId="65" fillId="57" borderId="24" xfId="0" applyNumberFormat="1" applyFont="1" applyFill="1" applyBorder="1" applyAlignment="1">
      <alignment vertical="center" wrapText="1"/>
    </xf>
    <xf numFmtId="179" fontId="65" fillId="0" borderId="24" xfId="0" applyNumberFormat="1" applyFont="1" applyFill="1" applyBorder="1" applyAlignment="1">
      <alignment vertical="center" wrapText="1"/>
    </xf>
    <xf numFmtId="180" fontId="65" fillId="0" borderId="24" xfId="357" applyNumberFormat="1" applyFont="1" applyFill="1" applyBorder="1" applyAlignment="1" applyProtection="1">
      <alignment vertical="center" wrapText="1"/>
      <protection/>
    </xf>
    <xf numFmtId="3" fontId="65" fillId="68" borderId="24" xfId="0" applyNumberFormat="1" applyFont="1" applyFill="1" applyBorder="1" applyAlignment="1">
      <alignment vertical="center" wrapText="1"/>
    </xf>
    <xf numFmtId="49" fontId="73" fillId="0" borderId="24" xfId="0" applyNumberFormat="1" applyFont="1" applyFill="1" applyBorder="1" applyAlignment="1">
      <alignment vertical="center" wrapText="1"/>
    </xf>
    <xf numFmtId="3" fontId="73" fillId="0" borderId="24" xfId="0" applyNumberFormat="1" applyFont="1" applyFill="1" applyBorder="1" applyAlignment="1">
      <alignment vertical="center" wrapText="1"/>
    </xf>
    <xf numFmtId="179" fontId="73" fillId="0" borderId="24" xfId="0" applyNumberFormat="1" applyFont="1" applyFill="1" applyBorder="1" applyAlignment="1">
      <alignment vertical="center" wrapText="1"/>
    </xf>
    <xf numFmtId="180" fontId="73" fillId="0" borderId="24" xfId="357" applyNumberFormat="1" applyFont="1" applyFill="1" applyBorder="1" applyAlignment="1" applyProtection="1">
      <alignment vertical="center" wrapText="1"/>
      <protection/>
    </xf>
    <xf numFmtId="3" fontId="73" fillId="0" borderId="24" xfId="0" applyNumberFormat="1" applyFont="1" applyFill="1" applyBorder="1" applyAlignment="1">
      <alignment horizontal="right" vertical="center" wrapText="1"/>
    </xf>
    <xf numFmtId="49" fontId="65" fillId="0" borderId="24" xfId="0" applyNumberFormat="1" applyFont="1" applyFill="1" applyBorder="1" applyAlignment="1">
      <alignment vertical="center" wrapText="1"/>
    </xf>
    <xf numFmtId="3" fontId="69" fillId="68" borderId="24" xfId="0" applyNumberFormat="1" applyFont="1" applyFill="1" applyBorder="1" applyAlignment="1">
      <alignment vertical="center" wrapText="1"/>
    </xf>
    <xf numFmtId="3" fontId="69" fillId="57" borderId="24" xfId="0" applyNumberFormat="1" applyFont="1" applyFill="1" applyBorder="1" applyAlignment="1">
      <alignment vertical="center" wrapText="1"/>
    </xf>
    <xf numFmtId="179" fontId="69" fillId="0" borderId="24" xfId="0" applyNumberFormat="1" applyFont="1" applyFill="1" applyBorder="1" applyAlignment="1">
      <alignment vertical="center" wrapText="1"/>
    </xf>
    <xf numFmtId="180" fontId="69" fillId="0" borderId="24" xfId="357" applyNumberFormat="1" applyFont="1" applyFill="1" applyBorder="1" applyAlignment="1" applyProtection="1">
      <alignment vertical="center" wrapText="1"/>
      <protection/>
    </xf>
    <xf numFmtId="1" fontId="65" fillId="0" borderId="24" xfId="0" applyNumberFormat="1" applyFont="1" applyFill="1" applyBorder="1" applyAlignment="1">
      <alignment horizontal="right" vertical="center" wrapText="1"/>
    </xf>
    <xf numFmtId="3" fontId="65" fillId="0" borderId="24" xfId="0" applyNumberFormat="1" applyFont="1" applyFill="1" applyBorder="1" applyAlignment="1">
      <alignment vertical="center" wrapText="1"/>
    </xf>
    <xf numFmtId="179" fontId="69" fillId="57" borderId="24" xfId="0" applyNumberFormat="1" applyFont="1" applyFill="1" applyBorder="1" applyAlignment="1">
      <alignment vertical="center" wrapText="1"/>
    </xf>
    <xf numFmtId="0" fontId="65" fillId="69" borderId="2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left"/>
    </xf>
    <xf numFmtId="179" fontId="69" fillId="0" borderId="24" xfId="0" applyNumberFormat="1" applyFont="1" applyFill="1" applyBorder="1" applyAlignment="1">
      <alignment horizontal="center" vertical="center" wrapText="1"/>
    </xf>
    <xf numFmtId="3" fontId="69" fillId="0" borderId="24" xfId="0" applyNumberFormat="1" applyFont="1" applyFill="1" applyBorder="1" applyAlignment="1">
      <alignment horizontal="left" vertical="center" wrapText="1"/>
    </xf>
    <xf numFmtId="0" fontId="69" fillId="0" borderId="24" xfId="0" applyNumberFormat="1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 vertical="center" wrapText="1"/>
    </xf>
    <xf numFmtId="0" fontId="69" fillId="0" borderId="24" xfId="0" applyNumberFormat="1" applyFont="1" applyFill="1" applyBorder="1" applyAlignment="1">
      <alignment horizontal="left" vertical="center" wrapText="1" shrinkToFit="1"/>
    </xf>
    <xf numFmtId="0" fontId="69" fillId="0" borderId="0" xfId="0" applyFont="1" applyFill="1" applyBorder="1" applyAlignment="1">
      <alignment horizontal="right" vertical="center"/>
    </xf>
    <xf numFmtId="3" fontId="69" fillId="0" borderId="24" xfId="0" applyNumberFormat="1" applyFont="1" applyFill="1" applyBorder="1" applyAlignment="1">
      <alignment horizontal="center" vertical="center" wrapText="1" shrinkToFit="1"/>
    </xf>
    <xf numFmtId="2" fontId="69" fillId="0" borderId="24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right" vertical="center"/>
    </xf>
    <xf numFmtId="0" fontId="69" fillId="0" borderId="24" xfId="0" applyFont="1" applyFill="1" applyBorder="1" applyAlignment="1">
      <alignment horizontal="center" vertical="center" wrapText="1" shrinkToFit="1"/>
    </xf>
    <xf numFmtId="0" fontId="69" fillId="0" borderId="24" xfId="0" applyFont="1" applyFill="1" applyBorder="1" applyAlignment="1">
      <alignment horizontal="left" vertical="center" wrapText="1" shrinkToFit="1"/>
    </xf>
    <xf numFmtId="180" fontId="69" fillId="0" borderId="24" xfId="0" applyNumberFormat="1" applyFont="1" applyFill="1" applyBorder="1" applyAlignment="1">
      <alignment horizontal="center" vertical="center" wrapText="1"/>
    </xf>
    <xf numFmtId="3" fontId="87" fillId="0" borderId="24" xfId="0" applyNumberFormat="1" applyFont="1" applyFill="1" applyBorder="1" applyAlignment="1">
      <alignment horizontal="center" vertical="center" wrapText="1" shrinkToFit="1"/>
    </xf>
    <xf numFmtId="0" fontId="87" fillId="0" borderId="24" xfId="0" applyNumberFormat="1" applyFont="1" applyFill="1" applyBorder="1" applyAlignment="1">
      <alignment horizontal="center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 shrinkToFit="1"/>
    </xf>
    <xf numFmtId="0" fontId="87" fillId="0" borderId="24" xfId="0" applyNumberFormat="1" applyFont="1" applyFill="1" applyBorder="1" applyAlignment="1">
      <alignment horizontal="center" vertical="center" wrapText="1" shrinkToFit="1"/>
    </xf>
    <xf numFmtId="180" fontId="69" fillId="0" borderId="24" xfId="0" applyNumberFormat="1" applyFont="1" applyFill="1" applyBorder="1" applyAlignment="1">
      <alignment horizontal="right" vertical="center" wrapText="1"/>
    </xf>
    <xf numFmtId="0" fontId="87" fillId="0" borderId="24" xfId="0" applyFont="1" applyFill="1" applyBorder="1" applyAlignment="1">
      <alignment horizontal="center" vertical="center"/>
    </xf>
    <xf numFmtId="0" fontId="69" fillId="64" borderId="2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81" fillId="0" borderId="0" xfId="298" applyFont="1" applyBorder="1" applyAlignment="1">
      <alignment horizontal="center"/>
      <protection/>
    </xf>
    <xf numFmtId="0" fontId="87" fillId="0" borderId="25" xfId="298" applyFont="1" applyBorder="1" applyAlignment="1">
      <alignment horizontal="center"/>
      <protection/>
    </xf>
    <xf numFmtId="0" fontId="66" fillId="0" borderId="3" xfId="298" applyFont="1" applyBorder="1" applyAlignment="1">
      <alignment horizontal="center" vertical="center"/>
      <protection/>
    </xf>
    <xf numFmtId="0" fontId="66" fillId="0" borderId="3" xfId="298" applyFont="1" applyFill="1" applyBorder="1" applyAlignment="1">
      <alignment horizontal="center" vertical="center" wrapText="1"/>
      <protection/>
    </xf>
    <xf numFmtId="0" fontId="66" fillId="0" borderId="3" xfId="298" applyFont="1" applyBorder="1" applyAlignment="1">
      <alignment horizontal="center" vertical="center" wrapText="1"/>
      <protection/>
    </xf>
    <xf numFmtId="0" fontId="82" fillId="0" borderId="25" xfId="298" applyFont="1" applyBorder="1" applyAlignment="1">
      <alignment horizontal="center"/>
      <protection/>
    </xf>
    <xf numFmtId="0" fontId="82" fillId="0" borderId="3" xfId="298" applyFont="1" applyBorder="1" applyAlignment="1">
      <alignment horizontal="center"/>
      <protection/>
    </xf>
    <xf numFmtId="0" fontId="66" fillId="0" borderId="3" xfId="298" applyFont="1" applyFill="1" applyBorder="1" applyAlignment="1">
      <alignment horizontal="center" vertical="center" textRotation="90" wrapText="1"/>
      <protection/>
    </xf>
    <xf numFmtId="0" fontId="66" fillId="0" borderId="3" xfId="298" applyFont="1" applyBorder="1" applyAlignment="1">
      <alignment horizontal="center" vertical="center" textRotation="90" wrapText="1"/>
      <protection/>
    </xf>
    <xf numFmtId="0" fontId="66" fillId="0" borderId="3" xfId="298" applyFont="1" applyBorder="1" applyAlignment="1">
      <alignment horizontal="center"/>
      <protection/>
    </xf>
    <xf numFmtId="0" fontId="66" fillId="0" borderId="3" xfId="298" applyFont="1" applyBorder="1" applyAlignment="1">
      <alignment horizontal="center" wrapText="1"/>
      <protection/>
    </xf>
    <xf numFmtId="49" fontId="74" fillId="0" borderId="0" xfId="298" applyNumberFormat="1" applyFont="1" applyBorder="1" applyAlignment="1">
      <alignment horizontal="left" vertical="center" wrapText="1"/>
      <protection/>
    </xf>
    <xf numFmtId="0" fontId="69" fillId="0" borderId="0" xfId="298" applyFont="1" applyBorder="1" applyAlignment="1">
      <alignment horizontal="center" vertical="center"/>
      <protection/>
    </xf>
    <xf numFmtId="0" fontId="87" fillId="0" borderId="0" xfId="298" applyFont="1" applyBorder="1" applyAlignment="1">
      <alignment horizontal="center" vertical="center"/>
      <protection/>
    </xf>
    <xf numFmtId="0" fontId="87" fillId="0" borderId="0" xfId="298" applyFont="1" applyFill="1" applyBorder="1" applyAlignment="1">
      <alignment horizontal="center" vertical="center" wrapText="1"/>
      <protection/>
    </xf>
    <xf numFmtId="0" fontId="69" fillId="0" borderId="29" xfId="298" applyFont="1" applyBorder="1" applyAlignment="1">
      <alignment horizontal="center" vertical="center" wrapText="1"/>
      <protection/>
    </xf>
    <xf numFmtId="0" fontId="87" fillId="0" borderId="0" xfId="298" applyFont="1" applyFill="1" applyBorder="1" applyAlignment="1">
      <alignment horizontal="center" vertical="center"/>
      <protection/>
    </xf>
    <xf numFmtId="0" fontId="87" fillId="0" borderId="3" xfId="298" applyFont="1" applyFill="1" applyBorder="1" applyAlignment="1">
      <alignment horizontal="center" vertical="center"/>
      <protection/>
    </xf>
    <xf numFmtId="0" fontId="81" fillId="0" borderId="0" xfId="298" applyFont="1" applyFill="1" applyBorder="1" applyAlignment="1">
      <alignment horizontal="right" vertical="center"/>
      <protection/>
    </xf>
    <xf numFmtId="0" fontId="87" fillId="0" borderId="21" xfId="298" applyFont="1" applyFill="1" applyBorder="1" applyAlignment="1">
      <alignment horizontal="center" wrapText="1"/>
      <protection/>
    </xf>
    <xf numFmtId="0" fontId="87" fillId="0" borderId="23" xfId="298" applyFont="1" applyFill="1" applyBorder="1" applyAlignment="1">
      <alignment horizontal="center" wrapText="1"/>
      <protection/>
    </xf>
    <xf numFmtId="0" fontId="87" fillId="0" borderId="30" xfId="298" applyFont="1" applyFill="1" applyBorder="1" applyAlignment="1">
      <alignment horizontal="center" wrapText="1"/>
      <protection/>
    </xf>
  </cellXfs>
  <cellStyles count="41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" xfId="95"/>
    <cellStyle name="Accent 1" xfId="96"/>
    <cellStyle name="Accent 2" xfId="97"/>
    <cellStyle name="Accent 3" xfId="98"/>
    <cellStyle name="Accent1" xfId="99"/>
    <cellStyle name="Accent2" xfId="100"/>
    <cellStyle name="Accent3" xfId="101"/>
    <cellStyle name="Accent4" xfId="102"/>
    <cellStyle name="Accent5" xfId="103"/>
    <cellStyle name="Accent6" xfId="104"/>
    <cellStyle name="Bad" xfId="105"/>
    <cellStyle name="Calculation" xfId="106"/>
    <cellStyle name="Check Cell" xfId="107"/>
    <cellStyle name="Column-Header" xfId="108"/>
    <cellStyle name="Column-Header 2" xfId="109"/>
    <cellStyle name="Column-Header 3" xfId="110"/>
    <cellStyle name="Column-Header 4" xfId="111"/>
    <cellStyle name="Column-Header 5" xfId="112"/>
    <cellStyle name="Column-Header 6" xfId="113"/>
    <cellStyle name="Column-Header 7" xfId="114"/>
    <cellStyle name="Column-Header 7 2" xfId="115"/>
    <cellStyle name="Column-Header 8" xfId="116"/>
    <cellStyle name="Column-Header 8 2" xfId="117"/>
    <cellStyle name="Column-Header 9" xfId="118"/>
    <cellStyle name="Column-Header 9 2" xfId="119"/>
    <cellStyle name="Column-Header_Zvit rux-koshtiv 2010 Департамент " xfId="120"/>
    <cellStyle name="Comma_2005_03_15-Финансовый_БГ" xfId="121"/>
    <cellStyle name="Define-Column" xfId="122"/>
    <cellStyle name="Define-Column 10" xfId="123"/>
    <cellStyle name="Define-Column 2" xfId="124"/>
    <cellStyle name="Define-Column 3" xfId="125"/>
    <cellStyle name="Define-Column 4" xfId="126"/>
    <cellStyle name="Define-Column 5" xfId="127"/>
    <cellStyle name="Define-Column 6" xfId="128"/>
    <cellStyle name="Define-Column 7" xfId="129"/>
    <cellStyle name="Define-Column 7 2" xfId="130"/>
    <cellStyle name="Define-Column 7 3" xfId="131"/>
    <cellStyle name="Define-Column 8" xfId="132"/>
    <cellStyle name="Define-Column 8 2" xfId="133"/>
    <cellStyle name="Define-Column 8 3" xfId="134"/>
    <cellStyle name="Define-Column 9" xfId="135"/>
    <cellStyle name="Define-Column 9 2" xfId="136"/>
    <cellStyle name="Define-Column 9 3" xfId="137"/>
    <cellStyle name="Define-Column_Zvit rux-koshtiv 2010 Департамент " xfId="138"/>
    <cellStyle name="Error" xfId="139"/>
    <cellStyle name="Explanatory Text" xfId="140"/>
    <cellStyle name="Footnote" xfId="141"/>
    <cellStyle name="FS10" xfId="142"/>
    <cellStyle name="Good" xfId="143"/>
    <cellStyle name="Heading" xfId="144"/>
    <cellStyle name="Heading 1" xfId="145"/>
    <cellStyle name="Heading 2" xfId="146"/>
    <cellStyle name="Heading 3" xfId="147"/>
    <cellStyle name="Heading 4" xfId="148"/>
    <cellStyle name="Hyperlink 2" xfId="149"/>
    <cellStyle name="Input" xfId="150"/>
    <cellStyle name="Level0" xfId="151"/>
    <cellStyle name="Level0 10" xfId="152"/>
    <cellStyle name="Level0 2" xfId="153"/>
    <cellStyle name="Level0 2 2" xfId="154"/>
    <cellStyle name="Level0 3" xfId="155"/>
    <cellStyle name="Level0 3 2" xfId="156"/>
    <cellStyle name="Level0 4" xfId="157"/>
    <cellStyle name="Level0 4 2" xfId="158"/>
    <cellStyle name="Level0 5" xfId="159"/>
    <cellStyle name="Level0 6" xfId="160"/>
    <cellStyle name="Level0 7" xfId="161"/>
    <cellStyle name="Level0 7 2" xfId="162"/>
    <cellStyle name="Level0 7 3" xfId="163"/>
    <cellStyle name="Level0 8" xfId="164"/>
    <cellStyle name="Level0 8 2" xfId="165"/>
    <cellStyle name="Level0 8 3" xfId="166"/>
    <cellStyle name="Level0 9" xfId="167"/>
    <cellStyle name="Level0 9 2" xfId="168"/>
    <cellStyle name="Level0 9 3" xfId="169"/>
    <cellStyle name="Level0_Zvit rux-koshtiv 2010 Департамент " xfId="170"/>
    <cellStyle name="Level1" xfId="171"/>
    <cellStyle name="Level1 2" xfId="172"/>
    <cellStyle name="Level1-Numbers" xfId="173"/>
    <cellStyle name="Level1-Numbers 2" xfId="174"/>
    <cellStyle name="Level1-Numbers-Hide" xfId="175"/>
    <cellStyle name="Level2" xfId="176"/>
    <cellStyle name="Level2 2" xfId="177"/>
    <cellStyle name="Level2-Hide" xfId="178"/>
    <cellStyle name="Level2-Hide 2" xfId="179"/>
    <cellStyle name="Level2-Numbers" xfId="180"/>
    <cellStyle name="Level2-Numbers 2" xfId="181"/>
    <cellStyle name="Level2-Numbers-Hide" xfId="182"/>
    <cellStyle name="Level3" xfId="183"/>
    <cellStyle name="Level3 2" xfId="184"/>
    <cellStyle name="Level3 3" xfId="185"/>
    <cellStyle name="Level3_План департамент_2010_1207" xfId="186"/>
    <cellStyle name="Level3-Hide" xfId="187"/>
    <cellStyle name="Level3-Hide 2" xfId="188"/>
    <cellStyle name="Level3-Numbers" xfId="189"/>
    <cellStyle name="Level3-Numbers 2" xfId="190"/>
    <cellStyle name="Level3-Numbers 3" xfId="191"/>
    <cellStyle name="Level3-Numbers_План департамент_2010_1207" xfId="192"/>
    <cellStyle name="Level3-Numbers-Hide" xfId="193"/>
    <cellStyle name="Level4" xfId="194"/>
    <cellStyle name="Level4 2" xfId="195"/>
    <cellStyle name="Level4-Hide" xfId="196"/>
    <cellStyle name="Level4-Hide 2" xfId="197"/>
    <cellStyle name="Level4-Numbers" xfId="198"/>
    <cellStyle name="Level4-Numbers 2" xfId="199"/>
    <cellStyle name="Level4-Numbers-Hide" xfId="200"/>
    <cellStyle name="Level5" xfId="201"/>
    <cellStyle name="Level5 2" xfId="202"/>
    <cellStyle name="Level5-Hide" xfId="203"/>
    <cellStyle name="Level5-Hide 2" xfId="204"/>
    <cellStyle name="Level5-Numbers" xfId="205"/>
    <cellStyle name="Level5-Numbers 2" xfId="206"/>
    <cellStyle name="Level5-Numbers-Hide" xfId="207"/>
    <cellStyle name="Level6" xfId="208"/>
    <cellStyle name="Level6 2" xfId="209"/>
    <cellStyle name="Level6-Hide" xfId="210"/>
    <cellStyle name="Level6-Hide 2" xfId="211"/>
    <cellStyle name="Level6-Numbers" xfId="212"/>
    <cellStyle name="Level6-Numbers 2" xfId="213"/>
    <cellStyle name="Level7" xfId="214"/>
    <cellStyle name="Level7-Hide" xfId="215"/>
    <cellStyle name="Level7-Numbers" xfId="216"/>
    <cellStyle name="Linked Cell" xfId="217"/>
    <cellStyle name="Neutral" xfId="218"/>
    <cellStyle name="Normal 2" xfId="219"/>
    <cellStyle name="Normal_2005_03_15-Финансовый_БГ" xfId="220"/>
    <cellStyle name="Normal_GSE DCF_Model_31_07_09 final" xfId="221"/>
    <cellStyle name="Note" xfId="222"/>
    <cellStyle name="Number-Cells" xfId="223"/>
    <cellStyle name="Number-Cells-Column2" xfId="224"/>
    <cellStyle name="Number-Cells-Column5" xfId="225"/>
    <cellStyle name="Output" xfId="226"/>
    <cellStyle name="Row-Header" xfId="227"/>
    <cellStyle name="Row-Header 2" xfId="228"/>
    <cellStyle name="Status" xfId="229"/>
    <cellStyle name="Text" xfId="230"/>
    <cellStyle name="Title" xfId="231"/>
    <cellStyle name="Total" xfId="232"/>
    <cellStyle name="Warning" xfId="233"/>
    <cellStyle name="Warning Text" xfId="234"/>
    <cellStyle name="Акцент1" xfId="235"/>
    <cellStyle name="Акцент1 2" xfId="236"/>
    <cellStyle name="Акцент1 3" xfId="237"/>
    <cellStyle name="Акцент2" xfId="238"/>
    <cellStyle name="Акцент2 2" xfId="239"/>
    <cellStyle name="Акцент2 3" xfId="240"/>
    <cellStyle name="Акцент3" xfId="241"/>
    <cellStyle name="Акцент3 2" xfId="242"/>
    <cellStyle name="Акцент3 3" xfId="243"/>
    <cellStyle name="Акцент4" xfId="244"/>
    <cellStyle name="Акцент4 2" xfId="245"/>
    <cellStyle name="Акцент4 3" xfId="246"/>
    <cellStyle name="Акцент5" xfId="247"/>
    <cellStyle name="Акцент5 2" xfId="248"/>
    <cellStyle name="Акцент5 3" xfId="249"/>
    <cellStyle name="Акцент6" xfId="250"/>
    <cellStyle name="Акцент6 2" xfId="251"/>
    <cellStyle name="Акцент6 3" xfId="252"/>
    <cellStyle name="Ввод " xfId="253"/>
    <cellStyle name="Ввод  2" xfId="254"/>
    <cellStyle name="Ввод  3" xfId="255"/>
    <cellStyle name="Вывод" xfId="256"/>
    <cellStyle name="Вывод 2" xfId="257"/>
    <cellStyle name="Вывод 3" xfId="258"/>
    <cellStyle name="Вычисление" xfId="259"/>
    <cellStyle name="Вычисление 2" xfId="260"/>
    <cellStyle name="Вычисление 3" xfId="261"/>
    <cellStyle name="Currency" xfId="262"/>
    <cellStyle name="Currency [0]" xfId="263"/>
    <cellStyle name="Денежный 2" xfId="264"/>
    <cellStyle name="Заголовок 1" xfId="265"/>
    <cellStyle name="Заголовок 1 2" xfId="266"/>
    <cellStyle name="Заголовок 1 3" xfId="267"/>
    <cellStyle name="Заголовок 2" xfId="268"/>
    <cellStyle name="Заголовок 2 2" xfId="269"/>
    <cellStyle name="Заголовок 2 3" xfId="270"/>
    <cellStyle name="Заголовок 3" xfId="271"/>
    <cellStyle name="Заголовок 3 2" xfId="272"/>
    <cellStyle name="Заголовок 3 3" xfId="273"/>
    <cellStyle name="Заголовок 4" xfId="274"/>
    <cellStyle name="Заголовок 4 2" xfId="275"/>
    <cellStyle name="Заголовок 4 3" xfId="276"/>
    <cellStyle name="Итог" xfId="277"/>
    <cellStyle name="Итог 2" xfId="278"/>
    <cellStyle name="Итог 3" xfId="279"/>
    <cellStyle name="Контрольная ячейка" xfId="280"/>
    <cellStyle name="Контрольная ячейка 2" xfId="281"/>
    <cellStyle name="Контрольная ячейка 3" xfId="282"/>
    <cellStyle name="Название" xfId="283"/>
    <cellStyle name="Название 2" xfId="284"/>
    <cellStyle name="Название 3" xfId="285"/>
    <cellStyle name="Нейтральный" xfId="286"/>
    <cellStyle name="Нейтральный 2" xfId="287"/>
    <cellStyle name="Нейтральный 3" xfId="288"/>
    <cellStyle name="Обычный 10" xfId="289"/>
    <cellStyle name="Обычный 11" xfId="290"/>
    <cellStyle name="Обычный 12" xfId="291"/>
    <cellStyle name="Обычный 13" xfId="292"/>
    <cellStyle name="Обычный 14" xfId="293"/>
    <cellStyle name="Обычный 15" xfId="294"/>
    <cellStyle name="Обычный 16" xfId="295"/>
    <cellStyle name="Обычный 17" xfId="296"/>
    <cellStyle name="Обычный 18" xfId="297"/>
    <cellStyle name="Обычный 19" xfId="298"/>
    <cellStyle name="Обычный 2" xfId="299"/>
    <cellStyle name="Обычный 2 10" xfId="300"/>
    <cellStyle name="Обычный 2 11" xfId="301"/>
    <cellStyle name="Обычный 2 12" xfId="302"/>
    <cellStyle name="Обычный 2 13" xfId="303"/>
    <cellStyle name="Обычный 2 14" xfId="304"/>
    <cellStyle name="Обычный 2 15" xfId="305"/>
    <cellStyle name="Обычный 2 16" xfId="306"/>
    <cellStyle name="Обычный 2 17" xfId="307"/>
    <cellStyle name="Обычный 2 2" xfId="308"/>
    <cellStyle name="Обычный 2 2 2" xfId="309"/>
    <cellStyle name="Обычный 2 2 3" xfId="310"/>
    <cellStyle name="Обычный 2 2_Расшифровка прочих" xfId="311"/>
    <cellStyle name="Обычный 2 3" xfId="312"/>
    <cellStyle name="Обычный 2 4" xfId="313"/>
    <cellStyle name="Обычный 2 5" xfId="314"/>
    <cellStyle name="Обычный 2 6" xfId="315"/>
    <cellStyle name="Обычный 2 7" xfId="316"/>
    <cellStyle name="Обычный 2 8" xfId="317"/>
    <cellStyle name="Обычный 2 9" xfId="318"/>
    <cellStyle name="Обычный 2_2604-2010" xfId="319"/>
    <cellStyle name="Обычный 3" xfId="320"/>
    <cellStyle name="Обычный 3 10" xfId="321"/>
    <cellStyle name="Обычный 3 11" xfId="322"/>
    <cellStyle name="Обычный 3 12" xfId="323"/>
    <cellStyle name="Обычный 3 13" xfId="324"/>
    <cellStyle name="Обычный 3 14" xfId="325"/>
    <cellStyle name="Обычный 3 2" xfId="326"/>
    <cellStyle name="Обычный 3 3" xfId="327"/>
    <cellStyle name="Обычный 3 4" xfId="328"/>
    <cellStyle name="Обычный 3 5" xfId="329"/>
    <cellStyle name="Обычный 3 6" xfId="330"/>
    <cellStyle name="Обычный 3 7" xfId="331"/>
    <cellStyle name="Обычный 3 8" xfId="332"/>
    <cellStyle name="Обычный 3 9" xfId="333"/>
    <cellStyle name="Обычный 3_Дефицит_7 млрд_0608_бс" xfId="334"/>
    <cellStyle name="Обычный 4" xfId="335"/>
    <cellStyle name="Обычный 5" xfId="336"/>
    <cellStyle name="Обычный 5 2" xfId="337"/>
    <cellStyle name="Обычный 6" xfId="338"/>
    <cellStyle name="Обычный 6 2" xfId="339"/>
    <cellStyle name="Обычный 6 3" xfId="340"/>
    <cellStyle name="Обычный 6 4" xfId="341"/>
    <cellStyle name="Обычный 6_Дефицит_7 млрд_0608_бс" xfId="342"/>
    <cellStyle name="Обычный 7" xfId="343"/>
    <cellStyle name="Обычный 7 2" xfId="344"/>
    <cellStyle name="Обычный 8" xfId="345"/>
    <cellStyle name="Обычный 9" xfId="346"/>
    <cellStyle name="Обычный 9 2" xfId="347"/>
    <cellStyle name="Плохой" xfId="348"/>
    <cellStyle name="Плохой 2" xfId="349"/>
    <cellStyle name="Плохой 3" xfId="350"/>
    <cellStyle name="Пояснение" xfId="351"/>
    <cellStyle name="Пояснение 2" xfId="352"/>
    <cellStyle name="Пояснение 3" xfId="353"/>
    <cellStyle name="Примечание" xfId="354"/>
    <cellStyle name="Примечание 2" xfId="355"/>
    <cellStyle name="Примечание 3" xfId="356"/>
    <cellStyle name="Percent" xfId="357"/>
    <cellStyle name="Процентный 2" xfId="358"/>
    <cellStyle name="Процентный 2 10" xfId="359"/>
    <cellStyle name="Процентный 2 11" xfId="360"/>
    <cellStyle name="Процентный 2 12" xfId="361"/>
    <cellStyle name="Процентный 2 13" xfId="362"/>
    <cellStyle name="Процентный 2 14" xfId="363"/>
    <cellStyle name="Процентный 2 15" xfId="364"/>
    <cellStyle name="Процентный 2 16" xfId="365"/>
    <cellStyle name="Процентный 2 2" xfId="366"/>
    <cellStyle name="Процентный 2 3" xfId="367"/>
    <cellStyle name="Процентный 2 4" xfId="368"/>
    <cellStyle name="Процентный 2 5" xfId="369"/>
    <cellStyle name="Процентный 2 6" xfId="370"/>
    <cellStyle name="Процентный 2 7" xfId="371"/>
    <cellStyle name="Процентный 2 8" xfId="372"/>
    <cellStyle name="Процентный 2 9" xfId="373"/>
    <cellStyle name="Процентный 3" xfId="374"/>
    <cellStyle name="Процентный 4" xfId="375"/>
    <cellStyle name="Процентный 4 2" xfId="376"/>
    <cellStyle name="Связанная ячейка" xfId="377"/>
    <cellStyle name="Связанная ячейка 2" xfId="378"/>
    <cellStyle name="Связанная ячейка 3" xfId="379"/>
    <cellStyle name="Стиль 1" xfId="380"/>
    <cellStyle name="Стиль 1 2" xfId="381"/>
    <cellStyle name="Стиль 1 3" xfId="382"/>
    <cellStyle name="Стиль 1 4" xfId="383"/>
    <cellStyle name="Стиль 1 5" xfId="384"/>
    <cellStyle name="Стиль 1 6" xfId="385"/>
    <cellStyle name="Стиль 1 7" xfId="386"/>
    <cellStyle name="Текст предупреждения" xfId="387"/>
    <cellStyle name="Текст предупреждения 2" xfId="388"/>
    <cellStyle name="Текст предупреждения 3" xfId="389"/>
    <cellStyle name="Тысячи [0]_1.62" xfId="390"/>
    <cellStyle name="Тысячи_1.62" xfId="391"/>
    <cellStyle name="Comma" xfId="392"/>
    <cellStyle name="Comma [0]" xfId="393"/>
    <cellStyle name="Финансовый 2" xfId="394"/>
    <cellStyle name="Финансовый 2 10" xfId="395"/>
    <cellStyle name="Финансовый 2 11" xfId="396"/>
    <cellStyle name="Финансовый 2 12" xfId="397"/>
    <cellStyle name="Финансовый 2 13" xfId="398"/>
    <cellStyle name="Финансовый 2 14" xfId="399"/>
    <cellStyle name="Финансовый 2 15" xfId="400"/>
    <cellStyle name="Финансовый 2 16" xfId="401"/>
    <cellStyle name="Финансовый 2 17" xfId="402"/>
    <cellStyle name="Финансовый 2 2" xfId="403"/>
    <cellStyle name="Финансовый 2 3" xfId="404"/>
    <cellStyle name="Финансовый 2 4" xfId="405"/>
    <cellStyle name="Финансовый 2 5" xfId="406"/>
    <cellStyle name="Финансовый 2 6" xfId="407"/>
    <cellStyle name="Финансовый 2 7" xfId="408"/>
    <cellStyle name="Финансовый 2 8" xfId="409"/>
    <cellStyle name="Финансовый 2 9" xfId="410"/>
    <cellStyle name="Финансовый 3" xfId="411"/>
    <cellStyle name="Финансовый 3 2" xfId="412"/>
    <cellStyle name="Финансовый 4" xfId="413"/>
    <cellStyle name="Финансовый 4 2" xfId="414"/>
    <cellStyle name="Финансовый 4 3" xfId="415"/>
    <cellStyle name="Финансовый 5" xfId="416"/>
    <cellStyle name="Финансовый 6" xfId="417"/>
    <cellStyle name="Финансовый 7" xfId="418"/>
    <cellStyle name="Хороший" xfId="419"/>
    <cellStyle name="Хороший 2" xfId="420"/>
    <cellStyle name="Хороший 3" xfId="421"/>
    <cellStyle name="числовой" xfId="422"/>
    <cellStyle name="Ю" xfId="423"/>
    <cellStyle name="Ю-FreeSet_10" xfId="4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&#1076;&#1086;%20&#1087;&#1086;&#1103;&#1089;&#1085;&#1102;&#1074;&#1072;&#1083;&#1100;&#1085;&#1086;&#1111;%20&#1079;&#1072;&#1087;&#1080;&#1089;&#1082;&#1080;%20&#1079;&#1072;%20%202021%20&#108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Правила ДДС"/>
      <sheetName val="_ф3"/>
      <sheetName val="_Ф4"/>
      <sheetName val="_Ф5"/>
      <sheetName val="Ф7_цены"/>
      <sheetName val="Ф8_цен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аб1 до пояс (Звіт)"/>
      <sheetName val="таб 2 до пояс (Звіт)"/>
      <sheetName val="таб 3,4 до пояс (Звіт)"/>
      <sheetName val="таб 5 до пояс (Звіт) "/>
      <sheetName val="таб 6 до пояс  (Звіт)"/>
      <sheetName val="розшифровки"/>
    </sheetNames>
    <sheetDataSet>
      <sheetData sheetId="0">
        <row r="9">
          <cell r="B9">
            <v>193660</v>
          </cell>
          <cell r="C9">
            <v>277940</v>
          </cell>
          <cell r="D9">
            <v>271936</v>
          </cell>
        </row>
      </sheetData>
      <sheetData sheetId="3">
        <row r="11">
          <cell r="B11">
            <v>74352</v>
          </cell>
          <cell r="D11">
            <v>92548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79"/>
  <sheetViews>
    <sheetView view="pageBreakPreview" zoomScaleNormal="83" zoomScaleSheetLayoutView="100" zoomScalePageLayoutView="0" workbookViewId="0" topLeftCell="A163">
      <selection activeCell="B12" sqref="B12:D12"/>
    </sheetView>
  </sheetViews>
  <sheetFormatPr defaultColWidth="8.625" defaultRowHeight="12.75"/>
  <cols>
    <col min="1" max="1" width="46.625" style="1" customWidth="1"/>
    <col min="2" max="2" width="7.625" style="2" customWidth="1"/>
    <col min="3" max="3" width="15.625" style="2" customWidth="1"/>
    <col min="4" max="4" width="13.75390625" style="2" customWidth="1"/>
    <col min="5" max="5" width="18.625" style="2" customWidth="1"/>
    <col min="6" max="6" width="14.625" style="2" customWidth="1"/>
    <col min="7" max="7" width="14.00390625" style="2" customWidth="1"/>
    <col min="8" max="9" width="9.375" style="1" customWidth="1"/>
    <col min="10" max="16384" width="8.625" style="1" customWidth="1"/>
  </cols>
  <sheetData>
    <row r="1" spans="2:11" ht="18.75" customHeight="1">
      <c r="B1" s="3"/>
      <c r="C1" s="3"/>
      <c r="D1" s="1"/>
      <c r="E1" s="351"/>
      <c r="F1" s="351"/>
      <c r="G1" s="351"/>
      <c r="H1" s="4"/>
      <c r="I1" s="4"/>
      <c r="J1" s="4"/>
      <c r="K1" s="4"/>
    </row>
    <row r="2" spans="2:11" ht="10.5" customHeight="1">
      <c r="B2" s="3"/>
      <c r="C2" s="3"/>
      <c r="D2" s="1"/>
      <c r="E2" s="354" t="s">
        <v>728</v>
      </c>
      <c r="F2" s="354"/>
      <c r="G2" s="354"/>
      <c r="H2" s="4"/>
      <c r="I2" s="4"/>
      <c r="J2" s="4"/>
      <c r="K2" s="4"/>
    </row>
    <row r="3" spans="2:11" ht="11.25" customHeight="1">
      <c r="B3" s="3"/>
      <c r="C3" s="3"/>
      <c r="D3" s="1"/>
      <c r="E3" s="354" t="s">
        <v>729</v>
      </c>
      <c r="F3" s="354"/>
      <c r="G3" s="354"/>
      <c r="H3" s="4"/>
      <c r="I3" s="4"/>
      <c r="J3" s="4"/>
      <c r="K3" s="4"/>
    </row>
    <row r="4" spans="2:11" ht="13.5" customHeight="1">
      <c r="B4" s="3"/>
      <c r="C4" s="3"/>
      <c r="D4" s="1"/>
      <c r="E4" s="354" t="s">
        <v>730</v>
      </c>
      <c r="F4" s="354"/>
      <c r="G4" s="354"/>
      <c r="H4" s="4"/>
      <c r="I4" s="4"/>
      <c r="J4" s="4"/>
      <c r="K4" s="4"/>
    </row>
    <row r="5" spans="1:11" ht="12" customHeight="1">
      <c r="A5" s="204"/>
      <c r="D5" s="1"/>
      <c r="E5" s="354" t="s">
        <v>731</v>
      </c>
      <c r="F5" s="354"/>
      <c r="G5" s="354"/>
      <c r="H5" s="4"/>
      <c r="I5" s="4"/>
      <c r="J5" s="4"/>
      <c r="K5" s="4"/>
    </row>
    <row r="6" spans="1:11" ht="11.25" customHeight="1">
      <c r="A6" s="45"/>
      <c r="D6" s="1"/>
      <c r="E6" s="355" t="s">
        <v>732</v>
      </c>
      <c r="F6" s="355"/>
      <c r="G6" s="355"/>
      <c r="H6" s="4"/>
      <c r="I6" s="4"/>
      <c r="J6" s="4"/>
      <c r="K6" s="4"/>
    </row>
    <row r="7" spans="1:11" ht="21.75" customHeight="1">
      <c r="A7" s="353"/>
      <c r="B7" s="353"/>
      <c r="C7" s="353"/>
      <c r="D7" s="17"/>
      <c r="E7" s="17"/>
      <c r="F7" s="17"/>
      <c r="G7" s="17"/>
      <c r="H7" s="4"/>
      <c r="I7" s="4"/>
      <c r="J7" s="4"/>
      <c r="K7" s="4"/>
    </row>
    <row r="8" spans="1:11" ht="18.75" customHeight="1">
      <c r="A8" s="45"/>
      <c r="D8" s="352"/>
      <c r="E8" s="352"/>
      <c r="F8" s="352"/>
      <c r="G8" s="352"/>
      <c r="H8" s="4"/>
      <c r="I8" s="4"/>
      <c r="J8" s="4"/>
      <c r="K8" s="4"/>
    </row>
    <row r="9" spans="1:11" ht="18.75" customHeight="1">
      <c r="A9" s="352"/>
      <c r="B9" s="352"/>
      <c r="D9" s="5"/>
      <c r="E9" s="5"/>
      <c r="F9" s="5"/>
      <c r="G9" s="5"/>
      <c r="H9" s="4"/>
      <c r="I9" s="4"/>
      <c r="J9" s="4"/>
      <c r="K9" s="4"/>
    </row>
    <row r="10" spans="1:11" ht="18.75" customHeight="1">
      <c r="A10" s="2"/>
      <c r="D10" s="5"/>
      <c r="E10" s="5"/>
      <c r="F10" s="5"/>
      <c r="G10" s="5"/>
      <c r="H10" s="4"/>
      <c r="I10" s="4"/>
      <c r="J10" s="4"/>
      <c r="K10" s="4"/>
    </row>
    <row r="11" spans="2:5" ht="18.75">
      <c r="B11" s="7"/>
      <c r="C11" s="7"/>
      <c r="E11" s="8"/>
    </row>
    <row r="12" spans="1:7" ht="19.5" customHeight="1">
      <c r="A12" s="9"/>
      <c r="B12" s="349"/>
      <c r="C12" s="349"/>
      <c r="D12" s="349"/>
      <c r="E12" s="10" t="s">
        <v>0</v>
      </c>
      <c r="F12" s="11" t="s">
        <v>1</v>
      </c>
      <c r="G12"/>
    </row>
    <row r="13" spans="1:6" ht="19.5" customHeight="1">
      <c r="A13" s="12" t="s">
        <v>2</v>
      </c>
      <c r="B13" s="350" t="s">
        <v>3</v>
      </c>
      <c r="C13" s="350"/>
      <c r="D13" s="350"/>
      <c r="E13" s="13" t="s">
        <v>4</v>
      </c>
      <c r="F13" s="14">
        <v>3352455</v>
      </c>
    </row>
    <row r="14" spans="1:6" ht="19.5" customHeight="1">
      <c r="A14" s="9" t="s">
        <v>5</v>
      </c>
      <c r="B14" s="350" t="s">
        <v>6</v>
      </c>
      <c r="C14" s="350"/>
      <c r="D14" s="350"/>
      <c r="E14" s="13" t="s">
        <v>7</v>
      </c>
      <c r="F14" s="14">
        <v>420</v>
      </c>
    </row>
    <row r="15" spans="1:6" ht="19.5" customHeight="1">
      <c r="A15" s="9" t="s">
        <v>8</v>
      </c>
      <c r="B15" s="350" t="s">
        <v>9</v>
      </c>
      <c r="C15" s="350"/>
      <c r="D15" s="350"/>
      <c r="E15" s="13" t="s">
        <v>10</v>
      </c>
      <c r="F15" s="14">
        <v>5910136600</v>
      </c>
    </row>
    <row r="16" spans="1:6" ht="33" customHeight="1">
      <c r="A16" s="15" t="s">
        <v>11</v>
      </c>
      <c r="B16" s="350" t="s">
        <v>12</v>
      </c>
      <c r="C16" s="350"/>
      <c r="D16" s="350"/>
      <c r="E16" s="13" t="s">
        <v>13</v>
      </c>
      <c r="F16" s="14"/>
    </row>
    <row r="17" spans="1:6" ht="19.5" customHeight="1">
      <c r="A17" s="12" t="s">
        <v>14</v>
      </c>
      <c r="B17" s="350" t="s">
        <v>15</v>
      </c>
      <c r="C17" s="350"/>
      <c r="D17" s="350"/>
      <c r="E17" s="13" t="s">
        <v>16</v>
      </c>
      <c r="F17" s="177"/>
    </row>
    <row r="18" spans="1:6" ht="53.25" customHeight="1">
      <c r="A18" s="12" t="s">
        <v>17</v>
      </c>
      <c r="B18" s="350" t="s">
        <v>18</v>
      </c>
      <c r="C18" s="350"/>
      <c r="D18" s="350"/>
      <c r="E18" s="9" t="s">
        <v>19</v>
      </c>
      <c r="F18" s="179" t="s">
        <v>20</v>
      </c>
    </row>
    <row r="19" spans="1:7" ht="19.5" customHeight="1">
      <c r="A19" s="12" t="s">
        <v>21</v>
      </c>
      <c r="B19" s="346" t="s">
        <v>22</v>
      </c>
      <c r="C19" s="346"/>
      <c r="D19" s="346"/>
      <c r="E19" s="346"/>
      <c r="F19" s="178"/>
      <c r="G19" s="17"/>
    </row>
    <row r="20" spans="1:7" ht="19.5" customHeight="1">
      <c r="A20" s="12" t="s">
        <v>23</v>
      </c>
      <c r="B20" s="346" t="s">
        <v>24</v>
      </c>
      <c r="C20" s="346"/>
      <c r="D20" s="346"/>
      <c r="E20" s="346"/>
      <c r="F20" s="16"/>
      <c r="G20" s="17"/>
    </row>
    <row r="21" spans="1:7" ht="18.75" customHeight="1">
      <c r="A21" s="347" t="s">
        <v>25</v>
      </c>
      <c r="B21" s="347"/>
      <c r="C21" s="347"/>
      <c r="D21" s="347"/>
      <c r="E21" s="18">
        <v>741</v>
      </c>
      <c r="F21" s="16"/>
      <c r="G21" s="17"/>
    </row>
    <row r="22" spans="1:7" ht="19.5" customHeight="1">
      <c r="A22" s="9" t="s">
        <v>26</v>
      </c>
      <c r="B22" s="348" t="s">
        <v>27</v>
      </c>
      <c r="C22" s="348"/>
      <c r="D22" s="348"/>
      <c r="E22" s="348"/>
      <c r="F22" s="19"/>
      <c r="G22" s="1"/>
    </row>
    <row r="23" spans="1:7" ht="19.5" customHeight="1">
      <c r="A23" s="12" t="s">
        <v>28</v>
      </c>
      <c r="B23" s="349" t="s">
        <v>29</v>
      </c>
      <c r="C23" s="349"/>
      <c r="D23" s="349"/>
      <c r="E23" s="18"/>
      <c r="F23" s="19"/>
      <c r="G23" s="17"/>
    </row>
    <row r="24" spans="1:7" ht="19.5" customHeight="1">
      <c r="A24" s="9" t="s">
        <v>30</v>
      </c>
      <c r="B24" s="349" t="s">
        <v>31</v>
      </c>
      <c r="C24" s="349"/>
      <c r="D24" s="349"/>
      <c r="E24" s="20"/>
      <c r="F24" s="21"/>
      <c r="G24" s="1"/>
    </row>
    <row r="25" spans="1:7" ht="19.5" customHeight="1">
      <c r="A25" s="5"/>
      <c r="B25" s="1"/>
      <c r="C25" s="1"/>
      <c r="D25" s="1"/>
      <c r="E25" s="1"/>
      <c r="F25" s="1"/>
      <c r="G25" s="1"/>
    </row>
    <row r="26" spans="1:7" ht="18.75">
      <c r="A26" s="335" t="s">
        <v>32</v>
      </c>
      <c r="B26" s="335"/>
      <c r="C26" s="335"/>
      <c r="D26" s="335"/>
      <c r="E26" s="335"/>
      <c r="F26" s="335"/>
      <c r="G26" s="335"/>
    </row>
    <row r="27" spans="1:7" ht="18.75">
      <c r="A27" s="335" t="s">
        <v>33</v>
      </c>
      <c r="B27" s="335"/>
      <c r="C27" s="335"/>
      <c r="D27" s="335"/>
      <c r="E27" s="335"/>
      <c r="F27" s="335"/>
      <c r="G27" s="335"/>
    </row>
    <row r="28" spans="1:7" ht="18.75">
      <c r="A28" s="335" t="s">
        <v>34</v>
      </c>
      <c r="B28" s="335"/>
      <c r="C28" s="335"/>
      <c r="D28" s="335"/>
      <c r="E28" s="335"/>
      <c r="F28" s="335"/>
      <c r="G28" s="335"/>
    </row>
    <row r="29" spans="1:7" ht="9" customHeight="1">
      <c r="A29" s="22"/>
      <c r="B29" s="22"/>
      <c r="C29" s="22"/>
      <c r="D29" s="22"/>
      <c r="E29" s="22"/>
      <c r="F29" s="22"/>
      <c r="G29" s="22"/>
    </row>
    <row r="30" spans="1:7" ht="18.75">
      <c r="A30" s="335" t="s">
        <v>35</v>
      </c>
      <c r="B30" s="335"/>
      <c r="C30" s="335"/>
      <c r="D30" s="335"/>
      <c r="E30" s="335"/>
      <c r="F30" s="335"/>
      <c r="G30" s="335"/>
    </row>
    <row r="31" spans="2:7" ht="12" customHeight="1">
      <c r="B31" s="23"/>
      <c r="C31" s="23"/>
      <c r="D31" s="23"/>
      <c r="E31" s="23"/>
      <c r="F31" s="23"/>
      <c r="G31" s="23"/>
    </row>
    <row r="32" spans="1:7" ht="39" customHeight="1">
      <c r="A32" s="343" t="s">
        <v>36</v>
      </c>
      <c r="B32" s="344" t="s">
        <v>37</v>
      </c>
      <c r="C32" s="344" t="s">
        <v>38</v>
      </c>
      <c r="D32" s="345" t="s">
        <v>39</v>
      </c>
      <c r="E32" s="345"/>
      <c r="F32" s="345"/>
      <c r="G32" s="345"/>
    </row>
    <row r="33" spans="1:7" ht="53.25" customHeight="1">
      <c r="A33" s="343"/>
      <c r="B33" s="344"/>
      <c r="C33" s="344"/>
      <c r="D33" s="103" t="s">
        <v>40</v>
      </c>
      <c r="E33" s="103" t="s">
        <v>41</v>
      </c>
      <c r="F33" s="103" t="s">
        <v>42</v>
      </c>
      <c r="G33" s="103" t="s">
        <v>43</v>
      </c>
    </row>
    <row r="34" spans="1:7" ht="18.75">
      <c r="A34" s="104">
        <v>1</v>
      </c>
      <c r="B34" s="103">
        <v>2</v>
      </c>
      <c r="C34" s="104">
        <v>3</v>
      </c>
      <c r="D34" s="104">
        <v>4</v>
      </c>
      <c r="E34" s="103">
        <v>5</v>
      </c>
      <c r="F34" s="104">
        <v>6</v>
      </c>
      <c r="G34" s="103">
        <v>7</v>
      </c>
    </row>
    <row r="35" spans="1:7" s="24" customFormat="1" ht="18" customHeight="1">
      <c r="A35" s="337" t="s">
        <v>44</v>
      </c>
      <c r="B35" s="337"/>
      <c r="C35" s="337"/>
      <c r="D35" s="337"/>
      <c r="E35" s="337"/>
      <c r="F35" s="337"/>
      <c r="G35" s="337"/>
    </row>
    <row r="36" spans="1:7" s="24" customFormat="1" ht="37.5">
      <c r="A36" s="164" t="s">
        <v>45</v>
      </c>
      <c r="B36" s="122">
        <v>1000</v>
      </c>
      <c r="C36" s="132">
        <f>'I. Фін результат'!C7</f>
        <v>193660</v>
      </c>
      <c r="D36" s="132">
        <f>'I. Фін результат'!D7</f>
        <v>277940</v>
      </c>
      <c r="E36" s="132">
        <f>'I. Фін результат'!E7</f>
        <v>271936</v>
      </c>
      <c r="F36" s="132">
        <f aca="true" t="shared" si="0" ref="F36:F82">E36-D36</f>
        <v>-6004</v>
      </c>
      <c r="G36" s="110">
        <f aca="true" t="shared" si="1" ref="G36:G82">(E36/D36)*100</f>
        <v>97.8</v>
      </c>
    </row>
    <row r="37" spans="1:7" s="24" customFormat="1" ht="37.5">
      <c r="A37" s="165" t="s">
        <v>46</v>
      </c>
      <c r="B37" s="103">
        <v>1010</v>
      </c>
      <c r="C37" s="134">
        <f>'I. Фін результат'!C8</f>
        <v>-196044</v>
      </c>
      <c r="D37" s="134">
        <f>'I. Фін результат'!D8</f>
        <v>-252290</v>
      </c>
      <c r="E37" s="134">
        <f>'I. Фін результат'!E8</f>
        <v>-241851</v>
      </c>
      <c r="F37" s="134">
        <f t="shared" si="0"/>
        <v>10439</v>
      </c>
      <c r="G37" s="107">
        <f t="shared" si="1"/>
        <v>95.9</v>
      </c>
    </row>
    <row r="38" spans="1:7" s="24" customFormat="1" ht="19.5" customHeight="1">
      <c r="A38" s="164" t="s">
        <v>47</v>
      </c>
      <c r="B38" s="122">
        <v>1020</v>
      </c>
      <c r="C38" s="117">
        <f>SUM(C36:C37)</f>
        <v>-2384</v>
      </c>
      <c r="D38" s="117">
        <f>SUM(D36:D37)</f>
        <v>25650</v>
      </c>
      <c r="E38" s="117">
        <f>SUM(E36:E37)</f>
        <v>30085</v>
      </c>
      <c r="F38" s="132">
        <f t="shared" si="0"/>
        <v>4435</v>
      </c>
      <c r="G38" s="110">
        <f t="shared" si="1"/>
        <v>117.3</v>
      </c>
    </row>
    <row r="39" spans="1:7" s="24" customFormat="1" ht="19.5" customHeight="1">
      <c r="A39" s="165" t="s">
        <v>48</v>
      </c>
      <c r="B39" s="104">
        <v>1030</v>
      </c>
      <c r="C39" s="134">
        <f>'I. Фін результат'!C18</f>
        <v>-8740</v>
      </c>
      <c r="D39" s="134">
        <f>'I. Фін результат'!D18</f>
        <v>-10480</v>
      </c>
      <c r="E39" s="134">
        <f>'I. Фін результат'!E18</f>
        <v>-10500</v>
      </c>
      <c r="F39" s="134">
        <f t="shared" si="0"/>
        <v>-20</v>
      </c>
      <c r="G39" s="107">
        <f t="shared" si="1"/>
        <v>100.2</v>
      </c>
    </row>
    <row r="40" spans="1:7" s="24" customFormat="1" ht="37.5">
      <c r="A40" s="114" t="s">
        <v>49</v>
      </c>
      <c r="B40" s="104">
        <v>1031</v>
      </c>
      <c r="C40" s="134">
        <f>'I. Фін результат'!C19</f>
        <v>-501</v>
      </c>
      <c r="D40" s="134">
        <f>'I. Фін результат'!D19</f>
        <v>-730</v>
      </c>
      <c r="E40" s="134">
        <f>'I. Фін результат'!E19</f>
        <v>-583</v>
      </c>
      <c r="F40" s="134">
        <f t="shared" si="0"/>
        <v>147</v>
      </c>
      <c r="G40" s="107">
        <f t="shared" si="1"/>
        <v>79.9</v>
      </c>
    </row>
    <row r="41" spans="1:7" s="24" customFormat="1" ht="37.5">
      <c r="A41" s="114" t="s">
        <v>50</v>
      </c>
      <c r="B41" s="104">
        <v>1032</v>
      </c>
      <c r="C41" s="134" t="str">
        <f>'I. Фін результат'!C20</f>
        <v>(    )</v>
      </c>
      <c r="D41" s="134" t="str">
        <f>'I. Фін результат'!D20</f>
        <v>(    )</v>
      </c>
      <c r="E41" s="134" t="str">
        <f>'I. Фін результат'!E20</f>
        <v>(    )</v>
      </c>
      <c r="F41" s="134" t="e">
        <f t="shared" si="0"/>
        <v>#VALUE!</v>
      </c>
      <c r="G41" s="107" t="e">
        <f t="shared" si="1"/>
        <v>#VALUE!</v>
      </c>
    </row>
    <row r="42" spans="1:7" s="24" customFormat="1" ht="19.5" customHeight="1">
      <c r="A42" s="114" t="s">
        <v>51</v>
      </c>
      <c r="B42" s="104">
        <v>1033</v>
      </c>
      <c r="C42" s="134" t="str">
        <f>'I. Фін результат'!C21</f>
        <v>(    )</v>
      </c>
      <c r="D42" s="134" t="str">
        <f>'I. Фін результат'!D21</f>
        <v>(    )</v>
      </c>
      <c r="E42" s="134" t="str">
        <f>'I. Фін результат'!E21</f>
        <v>(    )</v>
      </c>
      <c r="F42" s="134" t="e">
        <f t="shared" si="0"/>
        <v>#VALUE!</v>
      </c>
      <c r="G42" s="107" t="e">
        <f t="shared" si="1"/>
        <v>#VALUE!</v>
      </c>
    </row>
    <row r="43" spans="1:7" s="24" customFormat="1" ht="19.5" customHeight="1">
      <c r="A43" s="114" t="s">
        <v>52</v>
      </c>
      <c r="B43" s="104">
        <v>1034</v>
      </c>
      <c r="C43" s="134" t="str">
        <f>'I. Фін результат'!C22</f>
        <v>(    )</v>
      </c>
      <c r="D43" s="134" t="str">
        <f>'I. Фін результат'!D22</f>
        <v>(    )</v>
      </c>
      <c r="E43" s="134" t="str">
        <f>'I. Фін результат'!E22</f>
        <v>(    )</v>
      </c>
      <c r="F43" s="134" t="e">
        <f t="shared" si="0"/>
        <v>#VALUE!</v>
      </c>
      <c r="G43" s="107" t="e">
        <f t="shared" si="1"/>
        <v>#VALUE!</v>
      </c>
    </row>
    <row r="44" spans="1:7" s="24" customFormat="1" ht="19.5" customHeight="1">
      <c r="A44" s="114" t="s">
        <v>53</v>
      </c>
      <c r="B44" s="104">
        <v>1035</v>
      </c>
      <c r="C44" s="134" t="str">
        <f>'I. Фін результат'!C23</f>
        <v>(    )</v>
      </c>
      <c r="D44" s="134">
        <f>'I. Фін результат'!D23</f>
        <v>-70</v>
      </c>
      <c r="E44" s="134">
        <f>'I. Фін результат'!E23</f>
        <v>-188</v>
      </c>
      <c r="F44" s="134">
        <f t="shared" si="0"/>
        <v>-118</v>
      </c>
      <c r="G44" s="107">
        <f t="shared" si="1"/>
        <v>268.6</v>
      </c>
    </row>
    <row r="45" spans="1:7" s="24" customFormat="1" ht="19.5" customHeight="1">
      <c r="A45" s="165" t="s">
        <v>54</v>
      </c>
      <c r="B45" s="103">
        <v>1060</v>
      </c>
      <c r="C45" s="134">
        <f>'I. Фін результат'!C41</f>
        <v>-9922</v>
      </c>
      <c r="D45" s="134">
        <f>'I. Фін результат'!D41</f>
        <v>-14710</v>
      </c>
      <c r="E45" s="134">
        <f>'I. Фін результат'!E41</f>
        <v>-12956</v>
      </c>
      <c r="F45" s="134">
        <f t="shared" si="0"/>
        <v>1754</v>
      </c>
      <c r="G45" s="107">
        <f t="shared" si="1"/>
        <v>88.1</v>
      </c>
    </row>
    <row r="46" spans="1:7" s="24" customFormat="1" ht="19.5" customHeight="1">
      <c r="A46" s="114" t="s">
        <v>55</v>
      </c>
      <c r="B46" s="104">
        <v>1070</v>
      </c>
      <c r="C46" s="134">
        <f>'I. Фін результат'!C49</f>
        <v>43626</v>
      </c>
      <c r="D46" s="134">
        <f>'I. Фін результат'!D49</f>
        <v>29170</v>
      </c>
      <c r="E46" s="134">
        <f>'I. Фін результат'!E49</f>
        <v>28678</v>
      </c>
      <c r="F46" s="134">
        <f t="shared" si="0"/>
        <v>-492</v>
      </c>
      <c r="G46" s="107">
        <f t="shared" si="1"/>
        <v>98.3</v>
      </c>
    </row>
    <row r="47" spans="1:7" s="24" customFormat="1" ht="19.5" customHeight="1">
      <c r="A47" s="114" t="s">
        <v>56</v>
      </c>
      <c r="B47" s="104">
        <v>1071</v>
      </c>
      <c r="C47" s="134">
        <f>'I. Фін результат'!C50</f>
        <v>0</v>
      </c>
      <c r="D47" s="134">
        <f>'I. Фін результат'!D50</f>
        <v>0</v>
      </c>
      <c r="E47" s="134">
        <f>'I. Фін результат'!E50</f>
        <v>0</v>
      </c>
      <c r="F47" s="134">
        <f t="shared" si="0"/>
        <v>0</v>
      </c>
      <c r="G47" s="107" t="e">
        <f t="shared" si="1"/>
        <v>#DIV/0!</v>
      </c>
    </row>
    <row r="48" spans="1:7" s="24" customFormat="1" ht="19.5" customHeight="1">
      <c r="A48" s="114" t="s">
        <v>57</v>
      </c>
      <c r="B48" s="104">
        <v>1072</v>
      </c>
      <c r="C48" s="134">
        <f>'I. Фін результат'!C51</f>
        <v>0</v>
      </c>
      <c r="D48" s="134">
        <f>'I. Фін результат'!D51</f>
        <v>0</v>
      </c>
      <c r="E48" s="134">
        <f>'I. Фін результат'!E51</f>
        <v>0</v>
      </c>
      <c r="F48" s="134">
        <f t="shared" si="0"/>
        <v>0</v>
      </c>
      <c r="G48" s="107" t="e">
        <f t="shared" si="1"/>
        <v>#DIV/0!</v>
      </c>
    </row>
    <row r="49" spans="1:7" s="24" customFormat="1" ht="19.5" customHeight="1">
      <c r="A49" s="159" t="s">
        <v>58</v>
      </c>
      <c r="B49" s="104">
        <v>1080</v>
      </c>
      <c r="C49" s="134">
        <f>'I. Фін результат'!C53</f>
        <v>-11636</v>
      </c>
      <c r="D49" s="134">
        <f>'I. Фін результат'!D53</f>
        <v>-12042</v>
      </c>
      <c r="E49" s="134">
        <f>'I. Фін результат'!E53</f>
        <v>-11290</v>
      </c>
      <c r="F49" s="134">
        <f t="shared" si="0"/>
        <v>752</v>
      </c>
      <c r="G49" s="107">
        <f t="shared" si="1"/>
        <v>93.8</v>
      </c>
    </row>
    <row r="50" spans="1:7" s="24" customFormat="1" ht="19.5" customHeight="1">
      <c r="A50" s="114" t="s">
        <v>56</v>
      </c>
      <c r="B50" s="104">
        <v>1081</v>
      </c>
      <c r="C50" s="134">
        <f>'I. Фін результат'!C54</f>
        <v>0</v>
      </c>
      <c r="D50" s="134">
        <f>'I. Фін результат'!D54</f>
        <v>0</v>
      </c>
      <c r="E50" s="134">
        <f>'I. Фін результат'!E54</f>
        <v>0</v>
      </c>
      <c r="F50" s="134">
        <f t="shared" si="0"/>
        <v>0</v>
      </c>
      <c r="G50" s="107" t="e">
        <f t="shared" si="1"/>
        <v>#DIV/0!</v>
      </c>
    </row>
    <row r="51" spans="1:7" s="24" customFormat="1" ht="19.5" customHeight="1">
      <c r="A51" s="114" t="s">
        <v>59</v>
      </c>
      <c r="B51" s="104">
        <v>1082</v>
      </c>
      <c r="C51" s="134">
        <f>'I. Фін результат'!C55</f>
        <v>0</v>
      </c>
      <c r="D51" s="134">
        <f>'I. Фін результат'!D55</f>
        <v>0</v>
      </c>
      <c r="E51" s="134">
        <f>'I. Фін результат'!E55</f>
        <v>0</v>
      </c>
      <c r="F51" s="134">
        <f t="shared" si="0"/>
        <v>0</v>
      </c>
      <c r="G51" s="107" t="e">
        <f t="shared" si="1"/>
        <v>#DIV/0!</v>
      </c>
    </row>
    <row r="52" spans="1:7" s="24" customFormat="1" ht="33" customHeight="1">
      <c r="A52" s="113" t="s">
        <v>60</v>
      </c>
      <c r="B52" s="122">
        <v>1100</v>
      </c>
      <c r="C52" s="117">
        <f>SUM(C38,C39,C45,C46,C49)</f>
        <v>10944</v>
      </c>
      <c r="D52" s="117">
        <f>SUM(D38,D39,D45,D46,D49)</f>
        <v>17588</v>
      </c>
      <c r="E52" s="117">
        <f>SUM(E38,E39,E45,E46,E49)</f>
        <v>24017</v>
      </c>
      <c r="F52" s="132">
        <f t="shared" si="0"/>
        <v>6429</v>
      </c>
      <c r="G52" s="110">
        <f t="shared" si="1"/>
        <v>136.6</v>
      </c>
    </row>
    <row r="53" spans="1:7" s="24" customFormat="1" ht="19.5" customHeight="1">
      <c r="A53" s="166" t="s">
        <v>61</v>
      </c>
      <c r="B53" s="122">
        <v>1310</v>
      </c>
      <c r="C53" s="132">
        <f>'I. Фін результат'!C89</f>
        <v>30947</v>
      </c>
      <c r="D53" s="132">
        <f>'I. Фін результат'!D89</f>
        <v>40808</v>
      </c>
      <c r="E53" s="132">
        <f>'I. Фін результат'!E89</f>
        <v>41108</v>
      </c>
      <c r="F53" s="132">
        <f t="shared" si="0"/>
        <v>300</v>
      </c>
      <c r="G53" s="110">
        <f t="shared" si="1"/>
        <v>100.7</v>
      </c>
    </row>
    <row r="54" spans="1:7" s="24" customFormat="1" ht="18.75">
      <c r="A54" s="166" t="s">
        <v>62</v>
      </c>
      <c r="B54" s="122">
        <v>5010</v>
      </c>
      <c r="C54" s="167">
        <f>(C53/C36)*100</f>
        <v>16</v>
      </c>
      <c r="D54" s="167">
        <f>(D53/D36)*100</f>
        <v>14.7</v>
      </c>
      <c r="E54" s="167">
        <f>(E53/E36)*100</f>
        <v>15.1</v>
      </c>
      <c r="F54" s="132">
        <f t="shared" si="0"/>
        <v>0</v>
      </c>
      <c r="G54" s="110">
        <f t="shared" si="1"/>
        <v>102.7</v>
      </c>
    </row>
    <row r="55" spans="1:7" s="24" customFormat="1" ht="19.5" customHeight="1">
      <c r="A55" s="114" t="s">
        <v>63</v>
      </c>
      <c r="B55" s="104">
        <v>1110</v>
      </c>
      <c r="C55" s="134">
        <f>'I. Фін результат'!C61</f>
        <v>0</v>
      </c>
      <c r="D55" s="134">
        <f>'I. Фін результат'!D61</f>
        <v>0</v>
      </c>
      <c r="E55" s="134">
        <f>'I. Фін результат'!E61</f>
        <v>0</v>
      </c>
      <c r="F55" s="134">
        <f t="shared" si="0"/>
        <v>0</v>
      </c>
      <c r="G55" s="107" t="e">
        <f t="shared" si="1"/>
        <v>#DIV/0!</v>
      </c>
    </row>
    <row r="56" spans="1:7" s="24" customFormat="1" ht="18.75">
      <c r="A56" s="114" t="s">
        <v>64</v>
      </c>
      <c r="B56" s="104">
        <v>1120</v>
      </c>
      <c r="C56" s="134" t="str">
        <f>'I. Фін результат'!C62</f>
        <v>(    )</v>
      </c>
      <c r="D56" s="134" t="str">
        <f>'I. Фін результат'!D62</f>
        <v>(    )</v>
      </c>
      <c r="E56" s="134" t="str">
        <f>'I. Фін результат'!E62</f>
        <v>(    )</v>
      </c>
      <c r="F56" s="134" t="e">
        <f t="shared" si="0"/>
        <v>#VALUE!</v>
      </c>
      <c r="G56" s="107" t="e">
        <f t="shared" si="1"/>
        <v>#VALUE!</v>
      </c>
    </row>
    <row r="57" spans="1:7" s="24" customFormat="1" ht="19.5" customHeight="1">
      <c r="A57" s="114" t="s">
        <v>65</v>
      </c>
      <c r="B57" s="104">
        <v>1130</v>
      </c>
      <c r="C57" s="134">
        <f>'I. Фін результат'!C63</f>
        <v>1</v>
      </c>
      <c r="D57" s="134">
        <f>'I. Фін результат'!D63</f>
        <v>2</v>
      </c>
      <c r="E57" s="134">
        <f>'I. Фін результат'!E63</f>
        <v>4</v>
      </c>
      <c r="F57" s="134">
        <f t="shared" si="0"/>
        <v>2</v>
      </c>
      <c r="G57" s="107">
        <f t="shared" si="1"/>
        <v>200</v>
      </c>
    </row>
    <row r="58" spans="1:7" s="24" customFormat="1" ht="19.5" customHeight="1">
      <c r="A58" s="114" t="s">
        <v>66</v>
      </c>
      <c r="B58" s="104">
        <v>1140</v>
      </c>
      <c r="C58" s="134">
        <f>'I. Фін результат'!C64</f>
        <v>-125</v>
      </c>
      <c r="D58" s="134">
        <f>'I. Фін результат'!D64</f>
        <v>-200</v>
      </c>
      <c r="E58" s="134">
        <f>'I. Фін результат'!E64</f>
        <v>-64</v>
      </c>
      <c r="F58" s="134">
        <f t="shared" si="0"/>
        <v>136</v>
      </c>
      <c r="G58" s="107">
        <f t="shared" si="1"/>
        <v>32</v>
      </c>
    </row>
    <row r="59" spans="1:7" s="24" customFormat="1" ht="19.5" customHeight="1">
      <c r="A59" s="114" t="s">
        <v>67</v>
      </c>
      <c r="B59" s="104">
        <v>1150</v>
      </c>
      <c r="C59" s="134">
        <f>'I. Фін результат'!C65</f>
        <v>6449</v>
      </c>
      <c r="D59" s="134">
        <f>'I. Фін результат'!D65</f>
        <v>6600</v>
      </c>
      <c r="E59" s="134">
        <f>'I. Фін результат'!E65</f>
        <v>3937</v>
      </c>
      <c r="F59" s="134">
        <f t="shared" si="0"/>
        <v>-2663</v>
      </c>
      <c r="G59" s="107">
        <f t="shared" si="1"/>
        <v>59.7</v>
      </c>
    </row>
    <row r="60" spans="1:7" s="24" customFormat="1" ht="19.5" customHeight="1">
      <c r="A60" s="114" t="s">
        <v>56</v>
      </c>
      <c r="B60" s="104">
        <v>1151</v>
      </c>
      <c r="C60" s="134">
        <f>'I. Фін результат'!C66</f>
        <v>0</v>
      </c>
      <c r="D60" s="134">
        <f>'I. Фін результат'!D66</f>
        <v>0</v>
      </c>
      <c r="E60" s="134">
        <f>'I. Фін результат'!E66</f>
        <v>0</v>
      </c>
      <c r="F60" s="134">
        <f t="shared" si="0"/>
        <v>0</v>
      </c>
      <c r="G60" s="107" t="e">
        <f t="shared" si="1"/>
        <v>#DIV/0!</v>
      </c>
    </row>
    <row r="61" spans="1:7" s="24" customFormat="1" ht="19.5" customHeight="1">
      <c r="A61" s="114" t="s">
        <v>68</v>
      </c>
      <c r="B61" s="104">
        <v>1160</v>
      </c>
      <c r="C61" s="134">
        <f>'I. Фін результат'!C68</f>
        <v>-248</v>
      </c>
      <c r="D61" s="134">
        <f>'I. Фін результат'!D68</f>
        <v>-500</v>
      </c>
      <c r="E61" s="134">
        <f>'I. Фін результат'!E68</f>
        <v>-38</v>
      </c>
      <c r="F61" s="134">
        <f t="shared" si="0"/>
        <v>462</v>
      </c>
      <c r="G61" s="107">
        <f t="shared" si="1"/>
        <v>7.6</v>
      </c>
    </row>
    <row r="62" spans="1:7" s="24" customFormat="1" ht="19.5" customHeight="1">
      <c r="A62" s="114" t="s">
        <v>56</v>
      </c>
      <c r="B62" s="104">
        <v>1161</v>
      </c>
      <c r="C62" s="134" t="str">
        <f>'I. Фін результат'!C69</f>
        <v>(    )</v>
      </c>
      <c r="D62" s="134" t="str">
        <f>'I. Фін результат'!D69</f>
        <v>(    )</v>
      </c>
      <c r="E62" s="134" t="str">
        <f>'I. Фін результат'!E69</f>
        <v>(    )</v>
      </c>
      <c r="F62" s="134" t="e">
        <f t="shared" si="0"/>
        <v>#VALUE!</v>
      </c>
      <c r="G62" s="107" t="e">
        <f t="shared" si="1"/>
        <v>#VALUE!</v>
      </c>
    </row>
    <row r="63" spans="1:7" s="24" customFormat="1" ht="36.75" customHeight="1">
      <c r="A63" s="166" t="s">
        <v>69</v>
      </c>
      <c r="B63" s="122">
        <v>1170</v>
      </c>
      <c r="C63" s="117">
        <f>SUM(C52,C55:C59,C61)</f>
        <v>17021</v>
      </c>
      <c r="D63" s="117">
        <f>SUM(D52,D55:D59,D61)</f>
        <v>23490</v>
      </c>
      <c r="E63" s="117">
        <f>SUM(E52,E55:E59,E61)</f>
        <v>27856</v>
      </c>
      <c r="F63" s="132">
        <f t="shared" si="0"/>
        <v>4366</v>
      </c>
      <c r="G63" s="110">
        <f t="shared" si="1"/>
        <v>118.6</v>
      </c>
    </row>
    <row r="64" spans="1:7" s="24" customFormat="1" ht="19.5" customHeight="1">
      <c r="A64" s="114" t="s">
        <v>70</v>
      </c>
      <c r="B64" s="103">
        <v>1180</v>
      </c>
      <c r="C64" s="134">
        <f>'I. Фін результат'!C72</f>
        <v>-407</v>
      </c>
      <c r="D64" s="134">
        <f>'I. Фін результат'!D72</f>
        <v>-4228</v>
      </c>
      <c r="E64" s="134">
        <f>'I. Фін результат'!E72</f>
        <v>-7361</v>
      </c>
      <c r="F64" s="134">
        <f t="shared" si="0"/>
        <v>-3133</v>
      </c>
      <c r="G64" s="107">
        <f t="shared" si="1"/>
        <v>174.1</v>
      </c>
    </row>
    <row r="65" spans="1:7" s="24" customFormat="1" ht="18.75">
      <c r="A65" s="114" t="s">
        <v>71</v>
      </c>
      <c r="B65" s="103">
        <v>1181</v>
      </c>
      <c r="C65" s="134">
        <f>'I. Фін результат'!C73</f>
        <v>0</v>
      </c>
      <c r="D65" s="134">
        <f>'I. Фін результат'!D73</f>
        <v>0</v>
      </c>
      <c r="E65" s="134">
        <f>'I. Фін результат'!E73</f>
        <v>0</v>
      </c>
      <c r="F65" s="134">
        <f t="shared" si="0"/>
        <v>0</v>
      </c>
      <c r="G65" s="107" t="e">
        <f t="shared" si="1"/>
        <v>#DIV/0!</v>
      </c>
    </row>
    <row r="66" spans="1:7" s="24" customFormat="1" ht="37.5">
      <c r="A66" s="114" t="s">
        <v>72</v>
      </c>
      <c r="B66" s="104">
        <v>1190</v>
      </c>
      <c r="C66" s="134">
        <f>'I. Фін результат'!C74</f>
        <v>0</v>
      </c>
      <c r="D66" s="134">
        <f>'I. Фін результат'!D74</f>
        <v>0</v>
      </c>
      <c r="E66" s="134">
        <f>'I. Фін результат'!E74</f>
        <v>0</v>
      </c>
      <c r="F66" s="134">
        <f t="shared" si="0"/>
        <v>0</v>
      </c>
      <c r="G66" s="107" t="e">
        <f t="shared" si="1"/>
        <v>#DIV/0!</v>
      </c>
    </row>
    <row r="67" spans="1:7" s="24" customFormat="1" ht="33.75" customHeight="1">
      <c r="A67" s="114" t="s">
        <v>73</v>
      </c>
      <c r="B67" s="104">
        <v>1191</v>
      </c>
      <c r="C67" s="134" t="str">
        <f>'I. Фін результат'!C75</f>
        <v>(    )</v>
      </c>
      <c r="D67" s="134" t="str">
        <f>'I. Фін результат'!D75</f>
        <v>(    )</v>
      </c>
      <c r="E67" s="134" t="str">
        <f>'I. Фін результат'!E75</f>
        <v>(    )</v>
      </c>
      <c r="F67" s="134" t="e">
        <f t="shared" si="0"/>
        <v>#VALUE!</v>
      </c>
      <c r="G67" s="107" t="e">
        <f t="shared" si="1"/>
        <v>#VALUE!</v>
      </c>
    </row>
    <row r="68" spans="1:7" s="24" customFormat="1" ht="19.5" customHeight="1">
      <c r="A68" s="113" t="s">
        <v>74</v>
      </c>
      <c r="B68" s="120">
        <v>1200</v>
      </c>
      <c r="C68" s="117">
        <f>SUM(C63:C67)</f>
        <v>16614</v>
      </c>
      <c r="D68" s="117">
        <f>SUM(D63:D67)</f>
        <v>19262</v>
      </c>
      <c r="E68" s="117">
        <f>SUM(E63:E67)</f>
        <v>20495</v>
      </c>
      <c r="F68" s="132">
        <f t="shared" si="0"/>
        <v>1233</v>
      </c>
      <c r="G68" s="110">
        <f t="shared" si="1"/>
        <v>106.4</v>
      </c>
    </row>
    <row r="69" spans="1:7" s="24" customFormat="1" ht="19.5" customHeight="1">
      <c r="A69" s="114" t="s">
        <v>75</v>
      </c>
      <c r="B69" s="104">
        <v>1201</v>
      </c>
      <c r="C69" s="134">
        <f>'I. Фін результат'!C77</f>
        <v>16614</v>
      </c>
      <c r="D69" s="134">
        <f>'I. Фін результат'!D77</f>
        <v>19262</v>
      </c>
      <c r="E69" s="134">
        <f>'I. Фін результат'!E77</f>
        <v>20495</v>
      </c>
      <c r="F69" s="134">
        <f t="shared" si="0"/>
        <v>1233</v>
      </c>
      <c r="G69" s="107">
        <f t="shared" si="1"/>
        <v>106.4</v>
      </c>
    </row>
    <row r="70" spans="1:7" s="24" customFormat="1" ht="19.5" customHeight="1">
      <c r="A70" s="114" t="s">
        <v>76</v>
      </c>
      <c r="B70" s="104">
        <v>1202</v>
      </c>
      <c r="C70" s="134" t="str">
        <f>'I. Фін результат'!C78</f>
        <v>(    )</v>
      </c>
      <c r="D70" s="134" t="str">
        <f>'I. Фін результат'!D78</f>
        <v>(    )</v>
      </c>
      <c r="E70" s="134" t="str">
        <f>'I. Фін результат'!E78</f>
        <v>(    )</v>
      </c>
      <c r="F70" s="134" t="e">
        <f t="shared" si="0"/>
        <v>#VALUE!</v>
      </c>
      <c r="G70" s="107" t="e">
        <f t="shared" si="1"/>
        <v>#VALUE!</v>
      </c>
    </row>
    <row r="71" spans="1:7" s="24" customFormat="1" ht="19.5" customHeight="1">
      <c r="A71" s="113" t="s">
        <v>77</v>
      </c>
      <c r="B71" s="104">
        <v>1210</v>
      </c>
      <c r="C71" s="160">
        <f>SUM(C36,C46,C55,C57,C59,C65,C66)</f>
        <v>243736</v>
      </c>
      <c r="D71" s="160">
        <f>SUM(D36,D46,D55,D57,D59,D65,D66)</f>
        <v>313712</v>
      </c>
      <c r="E71" s="160">
        <f>SUM(E36,E46,E55,E57,E59,E65,E66)</f>
        <v>304555</v>
      </c>
      <c r="F71" s="134">
        <f t="shared" si="0"/>
        <v>-9157</v>
      </c>
      <c r="G71" s="107">
        <f t="shared" si="1"/>
        <v>97.1</v>
      </c>
    </row>
    <row r="72" spans="1:7" s="24" customFormat="1" ht="19.5" customHeight="1">
      <c r="A72" s="113" t="s">
        <v>78</v>
      </c>
      <c r="B72" s="104">
        <v>1220</v>
      </c>
      <c r="C72" s="160">
        <f>SUM(C37,C39,C45,C49,C56,C58,C61,C64,C67)</f>
        <v>-227122</v>
      </c>
      <c r="D72" s="160">
        <f>SUM(D37,D39,D45,D49,D56,D58,D61,D64,D67)</f>
        <v>-294450</v>
      </c>
      <c r="E72" s="160">
        <f>SUM(E37,E39,E45,E49,E56,E58,E61,E64,E67)</f>
        <v>-284060</v>
      </c>
      <c r="F72" s="134">
        <f t="shared" si="0"/>
        <v>10390</v>
      </c>
      <c r="G72" s="107">
        <f t="shared" si="1"/>
        <v>96.5</v>
      </c>
    </row>
    <row r="73" spans="1:7" s="24" customFormat="1" ht="19.5" customHeight="1">
      <c r="A73" s="114" t="s">
        <v>79</v>
      </c>
      <c r="B73" s="104">
        <v>1230</v>
      </c>
      <c r="C73" s="134">
        <f>'I. Фін результат'!C81</f>
        <v>0</v>
      </c>
      <c r="D73" s="134">
        <f>'I. Фін результат'!D81</f>
        <v>0</v>
      </c>
      <c r="E73" s="134">
        <f>'I. Фін результат'!E81</f>
        <v>0</v>
      </c>
      <c r="F73" s="134">
        <f t="shared" si="0"/>
        <v>0</v>
      </c>
      <c r="G73" s="107" t="e">
        <f t="shared" si="1"/>
        <v>#DIV/0!</v>
      </c>
    </row>
    <row r="74" spans="1:7" s="24" customFormat="1" ht="19.5" customHeight="1">
      <c r="A74" s="113" t="s">
        <v>80</v>
      </c>
      <c r="B74" s="120"/>
      <c r="C74" s="132"/>
      <c r="D74" s="132"/>
      <c r="E74" s="132"/>
      <c r="F74" s="132">
        <f t="shared" si="0"/>
        <v>0</v>
      </c>
      <c r="G74" s="110" t="e">
        <f t="shared" si="1"/>
        <v>#DIV/0!</v>
      </c>
    </row>
    <row r="75" spans="1:7" s="24" customFormat="1" ht="19.5" customHeight="1">
      <c r="A75" s="114" t="s">
        <v>81</v>
      </c>
      <c r="B75" s="104">
        <v>1400</v>
      </c>
      <c r="C75" s="134">
        <f>'I. Фін результат'!C91</f>
        <v>85261</v>
      </c>
      <c r="D75" s="134">
        <f>'I. Фін результат'!D91</f>
        <v>109420</v>
      </c>
      <c r="E75" s="134">
        <f>'I. Фін результат'!E91</f>
        <v>114774</v>
      </c>
      <c r="F75" s="134">
        <f t="shared" si="0"/>
        <v>5354</v>
      </c>
      <c r="G75" s="107">
        <f t="shared" si="1"/>
        <v>104.9</v>
      </c>
    </row>
    <row r="76" spans="1:7" s="24" customFormat="1" ht="31.5" customHeight="1">
      <c r="A76" s="114" t="s">
        <v>82</v>
      </c>
      <c r="B76" s="162">
        <v>1401</v>
      </c>
      <c r="C76" s="134">
        <f>'I. Фін результат'!C92</f>
        <v>17317</v>
      </c>
      <c r="D76" s="134">
        <f>'I. Фін результат'!D92</f>
        <v>28320</v>
      </c>
      <c r="E76" s="134">
        <f>'I. Фін результат'!E92</f>
        <v>27654</v>
      </c>
      <c r="F76" s="134">
        <f t="shared" si="0"/>
        <v>-666</v>
      </c>
      <c r="G76" s="107">
        <f t="shared" si="1"/>
        <v>97.6</v>
      </c>
    </row>
    <row r="77" spans="1:7" s="24" customFormat="1" ht="19.5" customHeight="1">
      <c r="A77" s="114" t="s">
        <v>83</v>
      </c>
      <c r="B77" s="162">
        <v>1402</v>
      </c>
      <c r="C77" s="134">
        <f>'I. Фін результат'!C93</f>
        <v>67944</v>
      </c>
      <c r="D77" s="134">
        <f>'I. Фін результат'!D93</f>
        <v>81100</v>
      </c>
      <c r="E77" s="134">
        <f>'I. Фін результат'!E93</f>
        <v>87120</v>
      </c>
      <c r="F77" s="134">
        <f t="shared" si="0"/>
        <v>6020</v>
      </c>
      <c r="G77" s="107">
        <f t="shared" si="1"/>
        <v>107.4</v>
      </c>
    </row>
    <row r="78" spans="1:7" s="24" customFormat="1" ht="19.5" customHeight="1">
      <c r="A78" s="114" t="s">
        <v>84</v>
      </c>
      <c r="B78" s="162">
        <v>1410</v>
      </c>
      <c r="C78" s="134">
        <f>'I. Фін результат'!C94</f>
        <v>75850</v>
      </c>
      <c r="D78" s="134">
        <f>'I. Фін результат'!D94</f>
        <v>95238</v>
      </c>
      <c r="E78" s="134">
        <f>'I. Фін результат'!E94</f>
        <v>94568</v>
      </c>
      <c r="F78" s="134">
        <f t="shared" si="0"/>
        <v>-670</v>
      </c>
      <c r="G78" s="107">
        <f t="shared" si="1"/>
        <v>99.3</v>
      </c>
    </row>
    <row r="79" spans="1:7" s="24" customFormat="1" ht="19.5" customHeight="1">
      <c r="A79" s="114" t="s">
        <v>85</v>
      </c>
      <c r="B79" s="162">
        <v>1420</v>
      </c>
      <c r="C79" s="134">
        <f>'I. Фін результат'!C95</f>
        <v>16614</v>
      </c>
      <c r="D79" s="134">
        <f>'I. Фін результат'!D95</f>
        <v>21000</v>
      </c>
      <c r="E79" s="134">
        <f>'I. Фін результат'!E95</f>
        <v>20736</v>
      </c>
      <c r="F79" s="134">
        <f t="shared" si="0"/>
        <v>-264</v>
      </c>
      <c r="G79" s="107">
        <f t="shared" si="1"/>
        <v>98.7</v>
      </c>
    </row>
    <row r="80" spans="1:7" s="24" customFormat="1" ht="19.5" customHeight="1">
      <c r="A80" s="114" t="s">
        <v>86</v>
      </c>
      <c r="B80" s="162">
        <v>1430</v>
      </c>
      <c r="C80" s="134">
        <f>'I. Фін результат'!C96</f>
        <v>20003</v>
      </c>
      <c r="D80" s="134">
        <f>'I. Фін результат'!D96</f>
        <v>23220</v>
      </c>
      <c r="E80" s="134">
        <f>'I. Фін результат'!E96</f>
        <v>17091</v>
      </c>
      <c r="F80" s="134">
        <f t="shared" si="0"/>
        <v>-6129</v>
      </c>
      <c r="G80" s="107">
        <f t="shared" si="1"/>
        <v>73.6</v>
      </c>
    </row>
    <row r="81" spans="1:7" s="24" customFormat="1" ht="19.5" customHeight="1">
      <c r="A81" s="114" t="s">
        <v>87</v>
      </c>
      <c r="B81" s="162">
        <v>1440</v>
      </c>
      <c r="C81" s="134">
        <f>'I. Фін результат'!C97</f>
        <v>28614</v>
      </c>
      <c r="D81" s="134">
        <f>'I. Фін результат'!D97</f>
        <v>40644</v>
      </c>
      <c r="E81" s="134">
        <f>'I. Фін результат'!E97</f>
        <v>29428</v>
      </c>
      <c r="F81" s="134">
        <f t="shared" si="0"/>
        <v>-11216</v>
      </c>
      <c r="G81" s="107">
        <f t="shared" si="1"/>
        <v>72.4</v>
      </c>
    </row>
    <row r="82" spans="1:7" s="24" customFormat="1" ht="19.5" customHeight="1">
      <c r="A82" s="113" t="s">
        <v>88</v>
      </c>
      <c r="B82" s="163">
        <v>1450</v>
      </c>
      <c r="C82" s="117">
        <f>SUM(C75,C78:C81)</f>
        <v>226342</v>
      </c>
      <c r="D82" s="117">
        <f>SUM(D75,D78:D81)</f>
        <v>289522</v>
      </c>
      <c r="E82" s="117">
        <f>SUM(E75,E78:E81)</f>
        <v>276597</v>
      </c>
      <c r="F82" s="132">
        <f t="shared" si="0"/>
        <v>-12925</v>
      </c>
      <c r="G82" s="110">
        <f t="shared" si="1"/>
        <v>95.5</v>
      </c>
    </row>
    <row r="83" spans="1:7" s="24" customFormat="1" ht="18" customHeight="1">
      <c r="A83" s="337" t="s">
        <v>89</v>
      </c>
      <c r="B83" s="337"/>
      <c r="C83" s="337"/>
      <c r="D83" s="337"/>
      <c r="E83" s="337"/>
      <c r="F83" s="337"/>
      <c r="G83" s="337"/>
    </row>
    <row r="84" spans="1:7" s="24" customFormat="1" ht="17.25" customHeight="1">
      <c r="A84" s="342" t="s">
        <v>90</v>
      </c>
      <c r="B84" s="342"/>
      <c r="C84" s="342"/>
      <c r="D84" s="342"/>
      <c r="E84" s="342"/>
      <c r="F84" s="342"/>
      <c r="G84" s="342"/>
    </row>
    <row r="85" spans="1:7" s="24" customFormat="1" ht="56.25">
      <c r="A85" s="144" t="s">
        <v>91</v>
      </c>
      <c r="B85" s="104">
        <v>2000</v>
      </c>
      <c r="C85" s="134">
        <f>'ІІ. Розр. з бюджетом'!C8</f>
        <v>-52756</v>
      </c>
      <c r="D85" s="134">
        <f>'ІІ. Розр. з бюджетом'!D8</f>
        <v>-49647</v>
      </c>
      <c r="E85" s="134">
        <f>'ІІ. Розр. з бюджетом'!E8</f>
        <v>-37918</v>
      </c>
      <c r="F85" s="134">
        <f aca="true" t="shared" si="2" ref="F85:F96">E85-D85</f>
        <v>11729</v>
      </c>
      <c r="G85" s="107">
        <f aca="true" t="shared" si="3" ref="G85:G96">(E85/D85)*100</f>
        <v>76.4</v>
      </c>
    </row>
    <row r="86" spans="1:7" s="24" customFormat="1" ht="21" customHeight="1">
      <c r="A86" s="114" t="s">
        <v>74</v>
      </c>
      <c r="B86" s="104">
        <v>1200</v>
      </c>
      <c r="C86" s="134">
        <f>'ІІ. Розр. з бюджетом'!C7</f>
        <v>16614</v>
      </c>
      <c r="D86" s="134">
        <f>'ІІ. Розр. з бюджетом'!D7</f>
        <v>19262</v>
      </c>
      <c r="E86" s="134">
        <f>'ІІ. Розр. з бюджетом'!E7</f>
        <v>20495</v>
      </c>
      <c r="F86" s="134">
        <f t="shared" si="2"/>
        <v>1233</v>
      </c>
      <c r="G86" s="107">
        <f t="shared" si="3"/>
        <v>106.4</v>
      </c>
    </row>
    <row r="87" spans="1:7" s="24" customFormat="1" ht="56.25">
      <c r="A87" s="144" t="s">
        <v>92</v>
      </c>
      <c r="B87" s="104">
        <v>2010</v>
      </c>
      <c r="C87" s="140">
        <f>SUM(C88:C89)</f>
        <v>-498</v>
      </c>
      <c r="D87" s="140">
        <f>SUM(D88:D89)</f>
        <v>-578</v>
      </c>
      <c r="E87" s="140">
        <f>SUM(E88:E89)</f>
        <v>-615</v>
      </c>
      <c r="F87" s="134">
        <f t="shared" si="2"/>
        <v>-37</v>
      </c>
      <c r="G87" s="107">
        <f t="shared" si="3"/>
        <v>106.4</v>
      </c>
    </row>
    <row r="88" spans="1:7" s="24" customFormat="1" ht="36.75" customHeight="1">
      <c r="A88" s="114" t="s">
        <v>93</v>
      </c>
      <c r="B88" s="104">
        <v>2011</v>
      </c>
      <c r="C88" s="134">
        <f>'ІІ. Розр. з бюджетом'!C10</f>
        <v>-498</v>
      </c>
      <c r="D88" s="134">
        <f>'ІІ. Розр. з бюджетом'!D10</f>
        <v>-578</v>
      </c>
      <c r="E88" s="134">
        <f>'ІІ. Розр. з бюджетом'!E10</f>
        <v>-615</v>
      </c>
      <c r="F88" s="134">
        <f t="shared" si="2"/>
        <v>-37</v>
      </c>
      <c r="G88" s="107">
        <f t="shared" si="3"/>
        <v>106.4</v>
      </c>
    </row>
    <row r="89" spans="1:7" s="24" customFormat="1" ht="75">
      <c r="A89" s="114" t="s">
        <v>94</v>
      </c>
      <c r="B89" s="104">
        <v>2012</v>
      </c>
      <c r="C89" s="134" t="str">
        <f>'ІІ. Розр. з бюджетом'!C11</f>
        <v>(    )</v>
      </c>
      <c r="D89" s="134" t="str">
        <f>'ІІ. Розр. з бюджетом'!D11</f>
        <v>(    )</v>
      </c>
      <c r="E89" s="134" t="str">
        <f>'ІІ. Розр. з бюджетом'!E11</f>
        <v>(    )</v>
      </c>
      <c r="F89" s="134" t="e">
        <f t="shared" si="2"/>
        <v>#VALUE!</v>
      </c>
      <c r="G89" s="107" t="e">
        <f t="shared" si="3"/>
        <v>#VALUE!</v>
      </c>
    </row>
    <row r="90" spans="1:7" s="24" customFormat="1" ht="18.75">
      <c r="A90" s="114" t="s">
        <v>95</v>
      </c>
      <c r="B90" s="104" t="s">
        <v>96</v>
      </c>
      <c r="C90" s="134" t="str">
        <f>'ІІ. Розр. з бюджетом'!C12</f>
        <v>(    )</v>
      </c>
      <c r="D90" s="134" t="str">
        <f>'ІІ. Розр. з бюджетом'!D12</f>
        <v>(    )</v>
      </c>
      <c r="E90" s="134" t="str">
        <f>'ІІ. Розр. з бюджетом'!E12</f>
        <v>(    )</v>
      </c>
      <c r="F90" s="134" t="e">
        <f t="shared" si="2"/>
        <v>#VALUE!</v>
      </c>
      <c r="G90" s="107" t="e">
        <f t="shared" si="3"/>
        <v>#VALUE!</v>
      </c>
    </row>
    <row r="91" spans="1:7" s="24" customFormat="1" ht="18.75">
      <c r="A91" s="114" t="s">
        <v>97</v>
      </c>
      <c r="B91" s="104">
        <v>2020</v>
      </c>
      <c r="C91" s="134">
        <f>'ІІ. Розр. з бюджетом'!C13</f>
        <v>0</v>
      </c>
      <c r="D91" s="134">
        <f>'ІІ. Розр. з бюджетом'!D13</f>
        <v>0</v>
      </c>
      <c r="E91" s="134">
        <f>'ІІ. Розр. з бюджетом'!E13</f>
        <v>0</v>
      </c>
      <c r="F91" s="134">
        <f t="shared" si="2"/>
        <v>0</v>
      </c>
      <c r="G91" s="107" t="e">
        <f t="shared" si="3"/>
        <v>#DIV/0!</v>
      </c>
    </row>
    <row r="92" spans="1:7" s="24" customFormat="1" ht="18.75">
      <c r="A92" s="144" t="s">
        <v>98</v>
      </c>
      <c r="B92" s="104">
        <v>2030</v>
      </c>
      <c r="C92" s="134" t="str">
        <f>'ІІ. Розр. з бюджетом'!C14</f>
        <v>(    )</v>
      </c>
      <c r="D92" s="134" t="str">
        <f>'ІІ. Розр. з бюджетом'!D14</f>
        <v>(    )</v>
      </c>
      <c r="E92" s="134" t="str">
        <f>'ІІ. Розр. з бюджетом'!E14</f>
        <v>(    )</v>
      </c>
      <c r="F92" s="134" t="e">
        <f t="shared" si="2"/>
        <v>#VALUE!</v>
      </c>
      <c r="G92" s="107" t="e">
        <f t="shared" si="3"/>
        <v>#VALUE!</v>
      </c>
    </row>
    <row r="93" spans="1:7" s="24" customFormat="1" ht="18.75">
      <c r="A93" s="144" t="s">
        <v>99</v>
      </c>
      <c r="B93" s="104">
        <v>2040</v>
      </c>
      <c r="C93" s="134" t="str">
        <f>'ІІ. Розр. з бюджетом'!C16</f>
        <v>(    )</v>
      </c>
      <c r="D93" s="134" t="str">
        <f>'ІІ. Розр. з бюджетом'!D16</f>
        <v>(    )</v>
      </c>
      <c r="E93" s="134" t="str">
        <f>'ІІ. Розр. з бюджетом'!E16</f>
        <v>(    )</v>
      </c>
      <c r="F93" s="134" t="e">
        <f t="shared" si="2"/>
        <v>#VALUE!</v>
      </c>
      <c r="G93" s="107" t="e">
        <f t="shared" si="3"/>
        <v>#VALUE!</v>
      </c>
    </row>
    <row r="94" spans="1:7" s="24" customFormat="1" ht="18.75">
      <c r="A94" s="144" t="s">
        <v>100</v>
      </c>
      <c r="B94" s="104">
        <v>2050</v>
      </c>
      <c r="C94" s="134" t="str">
        <f>'ІІ. Розр. з бюджетом'!C17</f>
        <v>(    )</v>
      </c>
      <c r="D94" s="134" t="str">
        <f>'ІІ. Розр. з бюджетом'!D17</f>
        <v>(    )</v>
      </c>
      <c r="E94" s="134" t="str">
        <f>'ІІ. Розр. з бюджетом'!E17</f>
        <v>(    )</v>
      </c>
      <c r="F94" s="134" t="e">
        <f t="shared" si="2"/>
        <v>#VALUE!</v>
      </c>
      <c r="G94" s="107" t="e">
        <f t="shared" si="3"/>
        <v>#VALUE!</v>
      </c>
    </row>
    <row r="95" spans="1:7" s="24" customFormat="1" ht="18.75">
      <c r="A95" s="144" t="s">
        <v>101</v>
      </c>
      <c r="B95" s="104">
        <v>2060</v>
      </c>
      <c r="C95" s="134" t="str">
        <f>'ІІ. Розр. з бюджетом'!C18</f>
        <v>(    )</v>
      </c>
      <c r="D95" s="134" t="str">
        <f>'ІІ. Розр. з бюджетом'!D18</f>
        <v>(    )</v>
      </c>
      <c r="E95" s="134">
        <f>'ІІ. Розр. з бюджетом'!E18</f>
        <v>-133</v>
      </c>
      <c r="F95" s="134" t="e">
        <f t="shared" si="2"/>
        <v>#VALUE!</v>
      </c>
      <c r="G95" s="107" t="e">
        <f t="shared" si="3"/>
        <v>#VALUE!</v>
      </c>
    </row>
    <row r="96" spans="1:7" s="24" customFormat="1" ht="56.25">
      <c r="A96" s="144" t="s">
        <v>102</v>
      </c>
      <c r="B96" s="104">
        <v>2070</v>
      </c>
      <c r="C96" s="145">
        <f>SUM(C85:C87,C91:C95)</f>
        <v>-36640</v>
      </c>
      <c r="D96" s="145">
        <f>SUM(D85:D87,D91:D95)</f>
        <v>-30963</v>
      </c>
      <c r="E96" s="145">
        <f>SUM(E85:E87,E91:E95)</f>
        <v>-18171</v>
      </c>
      <c r="F96" s="134">
        <f t="shared" si="2"/>
        <v>12792</v>
      </c>
      <c r="G96" s="107">
        <f t="shared" si="3"/>
        <v>58.7</v>
      </c>
    </row>
    <row r="97" spans="1:7" s="24" customFormat="1" ht="21.75" customHeight="1">
      <c r="A97" s="342" t="s">
        <v>103</v>
      </c>
      <c r="B97" s="342"/>
      <c r="C97" s="342"/>
      <c r="D97" s="342"/>
      <c r="E97" s="342"/>
      <c r="F97" s="342"/>
      <c r="G97" s="342"/>
    </row>
    <row r="98" spans="1:7" s="24" customFormat="1" ht="56.25" customHeight="1">
      <c r="A98" s="141" t="s">
        <v>104</v>
      </c>
      <c r="B98" s="120">
        <v>2110</v>
      </c>
      <c r="C98" s="132">
        <f>'ІІ. Розр. з бюджетом'!C21</f>
        <v>23576</v>
      </c>
      <c r="D98" s="132">
        <f>'ІІ. Розр. з бюджетом'!D21</f>
        <v>25226</v>
      </c>
      <c r="E98" s="132">
        <f>'ІІ. Розр. з бюджетом'!E21</f>
        <v>40472</v>
      </c>
      <c r="F98" s="132">
        <f aca="true" t="shared" si="4" ref="F98:F110">E98-D98</f>
        <v>15246</v>
      </c>
      <c r="G98" s="110">
        <f aca="true" t="shared" si="5" ref="G98:G110">(E98/D98)*100</f>
        <v>160.4</v>
      </c>
    </row>
    <row r="99" spans="1:7" s="24" customFormat="1" ht="18.75">
      <c r="A99" s="114" t="s">
        <v>105</v>
      </c>
      <c r="B99" s="104">
        <v>2111</v>
      </c>
      <c r="C99" s="134">
        <f>'ІІ. Розр. з бюджетом'!C22</f>
        <v>0</v>
      </c>
      <c r="D99" s="134">
        <f>'ІІ. Розр. з бюджетом'!D22</f>
        <v>0</v>
      </c>
      <c r="E99" s="134">
        <f>'ІІ. Розр. з бюджетом'!E22</f>
        <v>0</v>
      </c>
      <c r="F99" s="134">
        <f t="shared" si="4"/>
        <v>0</v>
      </c>
      <c r="G99" s="107" t="e">
        <f t="shared" si="5"/>
        <v>#DIV/0!</v>
      </c>
    </row>
    <row r="100" spans="1:7" s="24" customFormat="1" ht="37.5">
      <c r="A100" s="114" t="s">
        <v>106</v>
      </c>
      <c r="B100" s="104">
        <v>2112</v>
      </c>
      <c r="C100" s="134">
        <f>'ІІ. Розр. з бюджетом'!C23</f>
        <v>13254</v>
      </c>
      <c r="D100" s="134">
        <f>'ІІ. Розр. з бюджетом'!D23</f>
        <v>12800</v>
      </c>
      <c r="E100" s="134">
        <f>'ІІ. Розр. з бюджетом'!E23</f>
        <v>25087</v>
      </c>
      <c r="F100" s="134">
        <f t="shared" si="4"/>
        <v>12287</v>
      </c>
      <c r="G100" s="107">
        <f t="shared" si="5"/>
        <v>196</v>
      </c>
    </row>
    <row r="101" spans="1:7" s="24" customFormat="1" ht="56.25">
      <c r="A101" s="144" t="s">
        <v>107</v>
      </c>
      <c r="B101" s="103">
        <v>2113</v>
      </c>
      <c r="C101" s="134" t="str">
        <f>'ІІ. Розр. з бюджетом'!C24</f>
        <v>(    )</v>
      </c>
      <c r="D101" s="134" t="str">
        <f>'ІІ. Розр. з бюджетом'!D24</f>
        <v>(    )</v>
      </c>
      <c r="E101" s="134" t="str">
        <f>'ІІ. Розр. з бюджетом'!E24</f>
        <v>(    )</v>
      </c>
      <c r="F101" s="134" t="e">
        <f t="shared" si="4"/>
        <v>#VALUE!</v>
      </c>
      <c r="G101" s="107" t="e">
        <f t="shared" si="5"/>
        <v>#VALUE!</v>
      </c>
    </row>
    <row r="102" spans="1:7" s="24" customFormat="1" ht="18.75">
      <c r="A102" s="144" t="s">
        <v>108</v>
      </c>
      <c r="B102" s="103">
        <v>2114</v>
      </c>
      <c r="C102" s="134">
        <f>'ІІ. Розр. з бюджетом'!C25</f>
        <v>0</v>
      </c>
      <c r="D102" s="134">
        <f>'ІІ. Розр. з бюджетом'!D25</f>
        <v>0</v>
      </c>
      <c r="E102" s="134">
        <f>'ІІ. Розр. з бюджетом'!E25</f>
        <v>0</v>
      </c>
      <c r="F102" s="134">
        <f t="shared" si="4"/>
        <v>0</v>
      </c>
      <c r="G102" s="107" t="e">
        <f t="shared" si="5"/>
        <v>#DIV/0!</v>
      </c>
    </row>
    <row r="103" spans="1:7" s="24" customFormat="1" ht="56.25">
      <c r="A103" s="144" t="s">
        <v>109</v>
      </c>
      <c r="B103" s="103">
        <v>2115</v>
      </c>
      <c r="C103" s="134">
        <f>'ІІ. Розр. з бюджетом'!C26</f>
        <v>0</v>
      </c>
      <c r="D103" s="134">
        <f>'ІІ. Розр. з бюджетом'!D26</f>
        <v>0</v>
      </c>
      <c r="E103" s="134">
        <f>'ІІ. Розр. з бюджетом'!E26</f>
        <v>0</v>
      </c>
      <c r="F103" s="134">
        <f t="shared" si="4"/>
        <v>0</v>
      </c>
      <c r="G103" s="107" t="e">
        <f t="shared" si="5"/>
        <v>#DIV/0!</v>
      </c>
    </row>
    <row r="104" spans="1:7" s="24" customFormat="1" ht="18.75">
      <c r="A104" s="144" t="s">
        <v>110</v>
      </c>
      <c r="B104" s="103">
        <v>2116</v>
      </c>
      <c r="C104" s="134">
        <f>'ІІ. Розр. з бюджетом'!C27</f>
        <v>1808</v>
      </c>
      <c r="D104" s="134">
        <f>'ІІ. Розр. з бюджетом'!D27</f>
        <v>2100</v>
      </c>
      <c r="E104" s="134">
        <f>'ІІ. Розр. з бюджетом'!E27</f>
        <v>2447</v>
      </c>
      <c r="F104" s="134">
        <f t="shared" si="4"/>
        <v>347</v>
      </c>
      <c r="G104" s="107">
        <f t="shared" si="5"/>
        <v>116.5</v>
      </c>
    </row>
    <row r="105" spans="1:7" s="24" customFormat="1" ht="37.5">
      <c r="A105" s="144" t="s">
        <v>111</v>
      </c>
      <c r="B105" s="103">
        <v>2117</v>
      </c>
      <c r="C105" s="134">
        <f>'ІІ. Розр. з бюджетом'!C28</f>
        <v>7361</v>
      </c>
      <c r="D105" s="134">
        <f>'ІІ. Розр. з бюджетом'!D28</f>
        <v>8900</v>
      </c>
      <c r="E105" s="134">
        <f>'ІІ. Розр. з бюджетом'!E28</f>
        <v>11499</v>
      </c>
      <c r="F105" s="134">
        <f t="shared" si="4"/>
        <v>2599</v>
      </c>
      <c r="G105" s="107">
        <f t="shared" si="5"/>
        <v>129.2</v>
      </c>
    </row>
    <row r="106" spans="1:7" s="24" customFormat="1" ht="37.5" customHeight="1">
      <c r="A106" s="141" t="s">
        <v>112</v>
      </c>
      <c r="B106" s="130">
        <v>2120</v>
      </c>
      <c r="C106" s="132">
        <f>'ІІ. Розр. з бюджетом'!C31</f>
        <v>16643</v>
      </c>
      <c r="D106" s="132">
        <f>'ІІ. Розр. з бюджетом'!D31</f>
        <v>20070</v>
      </c>
      <c r="E106" s="132">
        <f>'ІІ. Розр. з бюджетом'!E31</f>
        <v>25166</v>
      </c>
      <c r="F106" s="132">
        <f t="shared" si="4"/>
        <v>5096</v>
      </c>
      <c r="G106" s="110">
        <f t="shared" si="5"/>
        <v>125.4</v>
      </c>
    </row>
    <row r="107" spans="1:7" s="24" customFormat="1" ht="56.25">
      <c r="A107" s="141" t="s">
        <v>113</v>
      </c>
      <c r="B107" s="130">
        <v>2130</v>
      </c>
      <c r="C107" s="132">
        <f>'ІІ. Розр. з бюджетом'!C42</f>
        <v>16566</v>
      </c>
      <c r="D107" s="132">
        <f>'ІІ. Розр. з бюджетом'!D42</f>
        <v>21492</v>
      </c>
      <c r="E107" s="132">
        <f>'ІІ. Розр. з бюджетом'!E42</f>
        <v>20631</v>
      </c>
      <c r="F107" s="132">
        <f t="shared" si="4"/>
        <v>-861</v>
      </c>
      <c r="G107" s="110">
        <f t="shared" si="5"/>
        <v>96</v>
      </c>
    </row>
    <row r="108" spans="1:7" s="24" customFormat="1" ht="91.5" customHeight="1">
      <c r="A108" s="168" t="s">
        <v>114</v>
      </c>
      <c r="B108" s="103">
        <v>2131</v>
      </c>
      <c r="C108" s="134">
        <f>'ІІ. Розр. з бюджетом'!C43</f>
        <v>0</v>
      </c>
      <c r="D108" s="134">
        <f>'ІІ. Розр. з бюджетом'!D43</f>
        <v>0</v>
      </c>
      <c r="E108" s="134">
        <f>'ІІ. Розр. з бюджетом'!E43</f>
        <v>0</v>
      </c>
      <c r="F108" s="134">
        <f t="shared" si="4"/>
        <v>0</v>
      </c>
      <c r="G108" s="107" t="e">
        <f t="shared" si="5"/>
        <v>#DIV/0!</v>
      </c>
    </row>
    <row r="109" spans="1:7" s="24" customFormat="1" ht="56.25">
      <c r="A109" s="168" t="s">
        <v>115</v>
      </c>
      <c r="B109" s="103">
        <v>2133</v>
      </c>
      <c r="C109" s="134">
        <f>'ІІ. Розр. з бюджетом'!C45</f>
        <v>16566</v>
      </c>
      <c r="D109" s="134">
        <f>'ІІ. Розр. з бюджетом'!D45</f>
        <v>21492</v>
      </c>
      <c r="E109" s="134">
        <f>'ІІ. Розр. з бюджетом'!E45</f>
        <v>20631</v>
      </c>
      <c r="F109" s="134">
        <f t="shared" si="4"/>
        <v>-861</v>
      </c>
      <c r="G109" s="107">
        <f t="shared" si="5"/>
        <v>96</v>
      </c>
    </row>
    <row r="110" spans="1:7" s="24" customFormat="1" ht="22.5" customHeight="1">
      <c r="A110" s="166" t="s">
        <v>116</v>
      </c>
      <c r="B110" s="122">
        <v>2200</v>
      </c>
      <c r="C110" s="132">
        <f>'ІІ. Розр. з бюджетом'!C50</f>
        <v>63020</v>
      </c>
      <c r="D110" s="132">
        <f>'ІІ. Розр. з бюджетом'!D50</f>
        <v>71760</v>
      </c>
      <c r="E110" s="132">
        <f>'ІІ. Розр. з бюджетом'!E50</f>
        <v>87654</v>
      </c>
      <c r="F110" s="132">
        <f t="shared" si="4"/>
        <v>15894</v>
      </c>
      <c r="G110" s="110">
        <f t="shared" si="5"/>
        <v>122.1</v>
      </c>
    </row>
    <row r="111" spans="1:7" s="24" customFormat="1" ht="18" customHeight="1">
      <c r="A111" s="337" t="s">
        <v>117</v>
      </c>
      <c r="B111" s="337"/>
      <c r="C111" s="337"/>
      <c r="D111" s="337"/>
      <c r="E111" s="337"/>
      <c r="F111" s="337"/>
      <c r="G111" s="337"/>
    </row>
    <row r="112" spans="1:7" s="24" customFormat="1" ht="19.5" customHeight="1">
      <c r="A112" s="166" t="s">
        <v>118</v>
      </c>
      <c r="B112" s="120">
        <v>3405</v>
      </c>
      <c r="C112" s="132">
        <f>'ІІІ. Рух грош. коштів'!C93</f>
        <v>615</v>
      </c>
      <c r="D112" s="132">
        <f>'ІІІ. Рух грош. коштів'!D93</f>
        <v>342</v>
      </c>
      <c r="E112" s="132">
        <f>'ІІІ. Рух грош. коштів'!E93</f>
        <v>578</v>
      </c>
      <c r="F112" s="132">
        <f aca="true" t="shared" si="6" ref="F112:F118">E112-D112</f>
        <v>236</v>
      </c>
      <c r="G112" s="110">
        <f aca="true" t="shared" si="7" ref="G112:G118">(E112/D112)*100</f>
        <v>169</v>
      </c>
    </row>
    <row r="113" spans="1:7" s="24" customFormat="1" ht="19.5" customHeight="1">
      <c r="A113" s="168" t="s">
        <v>119</v>
      </c>
      <c r="B113" s="104">
        <v>3030</v>
      </c>
      <c r="C113" s="134">
        <f>'ІІІ. Рух грош. коштів'!C11</f>
        <v>50886</v>
      </c>
      <c r="D113" s="134">
        <f>'ІІІ. Рух грош. коштів'!D11</f>
        <v>74720</v>
      </c>
      <c r="E113" s="134">
        <f>'ІІІ. Рух грош. коштів'!E11</f>
        <v>28827</v>
      </c>
      <c r="F113" s="134">
        <f t="shared" si="6"/>
        <v>-45893</v>
      </c>
      <c r="G113" s="107">
        <f t="shared" si="7"/>
        <v>38.6</v>
      </c>
    </row>
    <row r="114" spans="1:7" s="24" customFormat="1" ht="37.5">
      <c r="A114" s="168" t="s">
        <v>120</v>
      </c>
      <c r="B114" s="104">
        <v>3195</v>
      </c>
      <c r="C114" s="134">
        <f>'ІІІ. Рух грош. коштів'!C53</f>
        <v>525</v>
      </c>
      <c r="D114" s="134">
        <f>'ІІІ. Рух грош. коштів'!D53</f>
        <v>2373</v>
      </c>
      <c r="E114" s="134">
        <f>'ІІІ. Рух грош. коштів'!E53</f>
        <v>1264</v>
      </c>
      <c r="F114" s="134">
        <f t="shared" si="6"/>
        <v>-1109</v>
      </c>
      <c r="G114" s="107">
        <f t="shared" si="7"/>
        <v>53.3</v>
      </c>
    </row>
    <row r="115" spans="1:7" ht="37.5">
      <c r="A115" s="168" t="s">
        <v>121</v>
      </c>
      <c r="B115" s="104">
        <v>3295</v>
      </c>
      <c r="C115" s="134">
        <f>'ІІІ. Рух грош. коштів'!C72</f>
        <v>0</v>
      </c>
      <c r="D115" s="134">
        <f>'ІІІ. Рух грош. коштів'!D72</f>
        <v>0</v>
      </c>
      <c r="E115" s="134">
        <f>'ІІІ. Рух грош. коштів'!E72</f>
        <v>0</v>
      </c>
      <c r="F115" s="134">
        <f t="shared" si="6"/>
        <v>0</v>
      </c>
      <c r="G115" s="107" t="e">
        <f t="shared" si="7"/>
        <v>#DIV/0!</v>
      </c>
    </row>
    <row r="116" spans="1:7" s="24" customFormat="1" ht="37.5">
      <c r="A116" s="168" t="s">
        <v>122</v>
      </c>
      <c r="B116" s="104">
        <v>3395</v>
      </c>
      <c r="C116" s="134">
        <f>'ІІІ. Рух грош. коштів'!C91</f>
        <v>-562</v>
      </c>
      <c r="D116" s="134">
        <f>'ІІІ. Рух грош. коштів'!D91</f>
        <v>-198</v>
      </c>
      <c r="E116" s="134">
        <f>'ІІІ. Рух грош. коштів'!E91</f>
        <v>-998</v>
      </c>
      <c r="F116" s="134">
        <f t="shared" si="6"/>
        <v>-800</v>
      </c>
      <c r="G116" s="107">
        <f t="shared" si="7"/>
        <v>504</v>
      </c>
    </row>
    <row r="117" spans="1:7" s="24" customFormat="1" ht="37.5">
      <c r="A117" s="168" t="s">
        <v>123</v>
      </c>
      <c r="B117" s="104">
        <v>3410</v>
      </c>
      <c r="C117" s="134">
        <f>'ІІІ. Рух грош. коштів'!C94</f>
        <v>0</v>
      </c>
      <c r="D117" s="134">
        <f>'ІІІ. Рух грош. коштів'!D94</f>
        <v>0</v>
      </c>
      <c r="E117" s="134">
        <f>'ІІІ. Рух грош. коштів'!E94</f>
        <v>0</v>
      </c>
      <c r="F117" s="134">
        <f t="shared" si="6"/>
        <v>0</v>
      </c>
      <c r="G117" s="107" t="e">
        <f t="shared" si="7"/>
        <v>#DIV/0!</v>
      </c>
    </row>
    <row r="118" spans="1:7" s="24" customFormat="1" ht="18.75">
      <c r="A118" s="166" t="s">
        <v>124</v>
      </c>
      <c r="B118" s="120">
        <v>3415</v>
      </c>
      <c r="C118" s="117">
        <f>SUM(C112,C114:C117)</f>
        <v>578</v>
      </c>
      <c r="D118" s="117">
        <f>SUM(D112,D114:D117)</f>
        <v>2517</v>
      </c>
      <c r="E118" s="117">
        <f>SUM(E112,E114:E117)</f>
        <v>844</v>
      </c>
      <c r="F118" s="132">
        <f t="shared" si="6"/>
        <v>-1673</v>
      </c>
      <c r="G118" s="110">
        <f t="shared" si="7"/>
        <v>33.5</v>
      </c>
    </row>
    <row r="119" spans="1:7" s="24" customFormat="1" ht="18" customHeight="1">
      <c r="A119" s="338" t="s">
        <v>125</v>
      </c>
      <c r="B119" s="338"/>
      <c r="C119" s="338"/>
      <c r="D119" s="338"/>
      <c r="E119" s="338"/>
      <c r="F119" s="338"/>
      <c r="G119" s="338"/>
    </row>
    <row r="120" spans="1:7" s="24" customFormat="1" ht="37.5">
      <c r="A120" s="166" t="s">
        <v>126</v>
      </c>
      <c r="B120" s="131">
        <v>4000</v>
      </c>
      <c r="C120" s="117">
        <f>SUM(C121:C126)</f>
        <v>20248</v>
      </c>
      <c r="D120" s="117">
        <f>SUM(D121:D126)</f>
        <v>63523</v>
      </c>
      <c r="E120" s="117">
        <f>SUM(E121:E126)</f>
        <v>19010</v>
      </c>
      <c r="F120" s="132">
        <f aca="true" t="shared" si="8" ref="F120:F131">E120-D120</f>
        <v>-44513</v>
      </c>
      <c r="G120" s="110">
        <f aca="true" t="shared" si="9" ref="G120:G131">(E120/D120)*100</f>
        <v>29.9</v>
      </c>
    </row>
    <row r="121" spans="1:7" s="24" customFormat="1" ht="19.5" customHeight="1">
      <c r="A121" s="114" t="s">
        <v>127</v>
      </c>
      <c r="B121" s="112" t="s">
        <v>128</v>
      </c>
      <c r="C121" s="134">
        <f>'IV. Кап. інвестиції'!C7</f>
        <v>0</v>
      </c>
      <c r="D121" s="134">
        <f>'IV. Кап. інвестиції'!D7</f>
        <v>0</v>
      </c>
      <c r="E121" s="134">
        <f>'IV. Кап. інвестиції'!E7</f>
        <v>0</v>
      </c>
      <c r="F121" s="134">
        <f t="shared" si="8"/>
        <v>0</v>
      </c>
      <c r="G121" s="107" t="e">
        <f t="shared" si="9"/>
        <v>#DIV/0!</v>
      </c>
    </row>
    <row r="122" spans="1:7" s="24" customFormat="1" ht="37.5">
      <c r="A122" s="114" t="s">
        <v>129</v>
      </c>
      <c r="B122" s="112">
        <v>4020</v>
      </c>
      <c r="C122" s="134">
        <f>'IV. Кап. інвестиції'!C8</f>
        <v>11772</v>
      </c>
      <c r="D122" s="134">
        <f>'IV. Кап. інвестиції'!D8</f>
        <v>13319</v>
      </c>
      <c r="E122" s="134">
        <f>'IV. Кап. інвестиції'!E8</f>
        <v>14836</v>
      </c>
      <c r="F122" s="134">
        <f t="shared" si="8"/>
        <v>1517</v>
      </c>
      <c r="G122" s="107">
        <f t="shared" si="9"/>
        <v>111.4</v>
      </c>
    </row>
    <row r="123" spans="1:7" s="24" customFormat="1" ht="37.5">
      <c r="A123" s="114" t="s">
        <v>130</v>
      </c>
      <c r="B123" s="112">
        <v>4030</v>
      </c>
      <c r="C123" s="134">
        <f>'IV. Кап. інвестиції'!C9</f>
        <v>569</v>
      </c>
      <c r="D123" s="134">
        <f>'IV. Кап. інвестиції'!D9</f>
        <v>0</v>
      </c>
      <c r="E123" s="134">
        <f>'IV. Кап. інвестиції'!E9</f>
        <v>739</v>
      </c>
      <c r="F123" s="134">
        <f t="shared" si="8"/>
        <v>739</v>
      </c>
      <c r="G123" s="107" t="e">
        <f t="shared" si="9"/>
        <v>#DIV/0!</v>
      </c>
    </row>
    <row r="124" spans="1:7" s="24" customFormat="1" ht="37.5">
      <c r="A124" s="114" t="s">
        <v>131</v>
      </c>
      <c r="B124" s="112">
        <v>4040</v>
      </c>
      <c r="C124" s="134">
        <f>'IV. Кап. інвестиції'!C10</f>
        <v>247</v>
      </c>
      <c r="D124" s="134">
        <f>'IV. Кап. інвестиції'!D10</f>
        <v>0</v>
      </c>
      <c r="E124" s="134">
        <f>'IV. Кап. інвестиції'!E10</f>
        <v>3431</v>
      </c>
      <c r="F124" s="134">
        <f t="shared" si="8"/>
        <v>3431</v>
      </c>
      <c r="G124" s="107" t="e">
        <f t="shared" si="9"/>
        <v>#DIV/0!</v>
      </c>
    </row>
    <row r="125" spans="1:7" s="24" customFormat="1" ht="56.25">
      <c r="A125" s="114" t="s">
        <v>132</v>
      </c>
      <c r="B125" s="112">
        <v>4050</v>
      </c>
      <c r="C125" s="134">
        <f>'IV. Кап. інвестиції'!C11</f>
        <v>7660</v>
      </c>
      <c r="D125" s="134">
        <f>'IV. Кап. інвестиції'!D11</f>
        <v>49680</v>
      </c>
      <c r="E125" s="134">
        <f>'IV. Кап. інвестиції'!E11</f>
        <v>4</v>
      </c>
      <c r="F125" s="134">
        <f t="shared" si="8"/>
        <v>-49676</v>
      </c>
      <c r="G125" s="107">
        <f t="shared" si="9"/>
        <v>0</v>
      </c>
    </row>
    <row r="126" spans="1:7" s="24" customFormat="1" ht="18.75">
      <c r="A126" s="114" t="s">
        <v>133</v>
      </c>
      <c r="B126" s="112">
        <v>4060</v>
      </c>
      <c r="C126" s="134">
        <f>'IV. Кап. інвестиції'!C12</f>
        <v>0</v>
      </c>
      <c r="D126" s="134">
        <f>'IV. Кап. інвестиції'!D12</f>
        <v>524</v>
      </c>
      <c r="E126" s="134">
        <f>'IV. Кап. інвестиції'!E12</f>
        <v>0</v>
      </c>
      <c r="F126" s="134">
        <f t="shared" si="8"/>
        <v>-524</v>
      </c>
      <c r="G126" s="107">
        <f t="shared" si="9"/>
        <v>0</v>
      </c>
    </row>
    <row r="127" spans="1:7" s="24" customFormat="1" ht="37.5">
      <c r="A127" s="166" t="s">
        <v>134</v>
      </c>
      <c r="B127" s="131">
        <v>4000</v>
      </c>
      <c r="C127" s="117">
        <f>SUM(C128:C131)</f>
        <v>0</v>
      </c>
      <c r="D127" s="117">
        <f>SUM(D128:D131)</f>
        <v>63523</v>
      </c>
      <c r="E127" s="117">
        <f>SUM(E128:E131)</f>
        <v>19010</v>
      </c>
      <c r="F127" s="132">
        <f t="shared" si="8"/>
        <v>-44513</v>
      </c>
      <c r="G127" s="110">
        <f t="shared" si="9"/>
        <v>29.9</v>
      </c>
    </row>
    <row r="128" spans="1:7" s="24" customFormat="1" ht="19.5" customHeight="1">
      <c r="A128" s="144" t="s">
        <v>135</v>
      </c>
      <c r="B128" s="112" t="s">
        <v>136</v>
      </c>
      <c r="C128" s="134"/>
      <c r="D128" s="134">
        <f>'6.2. Інша інфо_2'!M36</f>
        <v>0</v>
      </c>
      <c r="E128" s="134">
        <f>'6.2. Інша інфо_2'!N36</f>
        <v>0</v>
      </c>
      <c r="F128" s="134">
        <f t="shared" si="8"/>
        <v>0</v>
      </c>
      <c r="G128" s="107" t="e">
        <f t="shared" si="9"/>
        <v>#DIV/0!</v>
      </c>
    </row>
    <row r="129" spans="1:7" s="24" customFormat="1" ht="19.5" customHeight="1">
      <c r="A129" s="144" t="s">
        <v>137</v>
      </c>
      <c r="B129" s="112" t="s">
        <v>138</v>
      </c>
      <c r="C129" s="134"/>
      <c r="D129" s="134">
        <f>'6.2. Інша інфо_2'!Q36</f>
        <v>46250</v>
      </c>
      <c r="E129" s="134">
        <f>'6.2. Інша інфо_2'!R36</f>
        <v>0</v>
      </c>
      <c r="F129" s="134">
        <f t="shared" si="8"/>
        <v>-46250</v>
      </c>
      <c r="G129" s="107">
        <f t="shared" si="9"/>
        <v>0</v>
      </c>
    </row>
    <row r="130" spans="1:7" s="24" customFormat="1" ht="19.5" customHeight="1">
      <c r="A130" s="144" t="s">
        <v>139</v>
      </c>
      <c r="B130" s="112" t="s">
        <v>140</v>
      </c>
      <c r="C130" s="134"/>
      <c r="D130" s="134">
        <f>'6.2. Інша інфо_2'!U36+'6.2. Інша інфо_2'!Y36</f>
        <v>17273</v>
      </c>
      <c r="E130" s="134">
        <f>'6.2. Інша інфо_2'!V36+'6.2. Інша інфо_2'!Z36</f>
        <v>19010</v>
      </c>
      <c r="F130" s="134">
        <f t="shared" si="8"/>
        <v>1737</v>
      </c>
      <c r="G130" s="107">
        <f t="shared" si="9"/>
        <v>110.1</v>
      </c>
    </row>
    <row r="131" spans="1:7" s="24" customFormat="1" ht="19.5" customHeight="1">
      <c r="A131" s="144" t="s">
        <v>141</v>
      </c>
      <c r="B131" s="112" t="s">
        <v>142</v>
      </c>
      <c r="C131" s="134"/>
      <c r="D131" s="134">
        <f>'6.2. Інша інфо_2'!AC36</f>
        <v>0</v>
      </c>
      <c r="E131" s="134">
        <f>'6.2. Інша інфо_2'!AD36</f>
        <v>0</v>
      </c>
      <c r="F131" s="134">
        <f t="shared" si="8"/>
        <v>0</v>
      </c>
      <c r="G131" s="107" t="e">
        <f t="shared" si="9"/>
        <v>#DIV/0!</v>
      </c>
    </row>
    <row r="132" spans="1:7" s="24" customFormat="1" ht="18" customHeight="1">
      <c r="A132" s="336" t="s">
        <v>143</v>
      </c>
      <c r="B132" s="336"/>
      <c r="C132" s="336"/>
      <c r="D132" s="336"/>
      <c r="E132" s="336"/>
      <c r="F132" s="336"/>
      <c r="G132" s="336"/>
    </row>
    <row r="133" spans="1:7" s="24" customFormat="1" ht="18.75">
      <c r="A133" s="168" t="s">
        <v>144</v>
      </c>
      <c r="B133" s="104">
        <v>5040</v>
      </c>
      <c r="C133" s="169">
        <f>(C68/C36)*100</f>
        <v>8.6</v>
      </c>
      <c r="D133" s="169">
        <f>(D68/D36)*100</f>
        <v>6.9</v>
      </c>
      <c r="E133" s="169">
        <f>(E68/E36)*100</f>
        <v>7.5</v>
      </c>
      <c r="F133" s="170"/>
      <c r="G133" s="111"/>
    </row>
    <row r="134" spans="1:7" s="24" customFormat="1" ht="18.75">
      <c r="A134" s="168" t="s">
        <v>145</v>
      </c>
      <c r="B134" s="104">
        <v>5020</v>
      </c>
      <c r="C134" s="169">
        <f>(C68/C145)*100</f>
        <v>7.5</v>
      </c>
      <c r="D134" s="169">
        <f>(D68/D145)*100</f>
        <v>8.8</v>
      </c>
      <c r="E134" s="169">
        <f>(E68/E145)*100</f>
        <v>8.2</v>
      </c>
      <c r="F134" s="170"/>
      <c r="G134" s="111"/>
    </row>
    <row r="135" spans="1:7" s="24" customFormat="1" ht="18.75">
      <c r="A135" s="168" t="s">
        <v>146</v>
      </c>
      <c r="B135" s="104">
        <v>5030</v>
      </c>
      <c r="C135" s="169">
        <f>(C68/C151)*100</f>
        <v>13.4</v>
      </c>
      <c r="D135" s="169">
        <f>(D68/D151)*100</f>
        <v>16.8</v>
      </c>
      <c r="E135" s="169">
        <f>(E68/E151)*100</f>
        <v>14.6</v>
      </c>
      <c r="F135" s="170"/>
      <c r="G135" s="111"/>
    </row>
    <row r="136" spans="1:7" s="24" customFormat="1" ht="18.75">
      <c r="A136" s="168" t="s">
        <v>147</v>
      </c>
      <c r="B136" s="104">
        <v>5110</v>
      </c>
      <c r="C136" s="169">
        <f>C151/C148</f>
        <v>1.3</v>
      </c>
      <c r="D136" s="169">
        <f>D151/D148</f>
        <v>1.1</v>
      </c>
      <c r="E136" s="169">
        <f>E151/E148</f>
        <v>1.3</v>
      </c>
      <c r="F136" s="170"/>
      <c r="G136" s="111"/>
    </row>
    <row r="137" spans="1:7" s="24" customFormat="1" ht="21.75" customHeight="1">
      <c r="A137" s="168" t="s">
        <v>148</v>
      </c>
      <c r="B137" s="104">
        <v>5220</v>
      </c>
      <c r="C137" s="169">
        <f>C142/C141</f>
        <v>0.6</v>
      </c>
      <c r="D137" s="169">
        <f>D142/D141</f>
        <v>0.5</v>
      </c>
      <c r="E137" s="169">
        <f>E142/E141</f>
        <v>0.6</v>
      </c>
      <c r="F137" s="170"/>
      <c r="G137" s="111"/>
    </row>
    <row r="138" spans="1:7" s="24" customFormat="1" ht="18" customHeight="1">
      <c r="A138" s="337" t="s">
        <v>149</v>
      </c>
      <c r="B138" s="337"/>
      <c r="C138" s="337"/>
      <c r="D138" s="337"/>
      <c r="E138" s="337"/>
      <c r="F138" s="337"/>
      <c r="G138" s="337"/>
    </row>
    <row r="139" spans="1:7" s="24" customFormat="1" ht="37.5">
      <c r="A139" s="168" t="s">
        <v>150</v>
      </c>
      <c r="B139" s="104">
        <v>6000</v>
      </c>
      <c r="C139" s="183">
        <v>133329</v>
      </c>
      <c r="D139" s="183">
        <v>147700</v>
      </c>
      <c r="E139" s="180">
        <v>140224</v>
      </c>
      <c r="F139" s="134">
        <f>D139-C139</f>
        <v>14371</v>
      </c>
      <c r="G139" s="107">
        <f aca="true" t="shared" si="10" ref="G139:G151">SUM(D139/C139)*100</f>
        <v>110.8</v>
      </c>
    </row>
    <row r="140" spans="1:7" s="24" customFormat="1" ht="19.5" customHeight="1">
      <c r="A140" s="168" t="s">
        <v>151</v>
      </c>
      <c r="B140" s="104">
        <v>6001</v>
      </c>
      <c r="C140" s="183">
        <f>C141-C142</f>
        <v>118647</v>
      </c>
      <c r="D140" s="183">
        <f>D141-D142</f>
        <v>171970</v>
      </c>
      <c r="E140" s="184">
        <f>E141-E142</f>
        <v>118534</v>
      </c>
      <c r="F140" s="134">
        <f>F141-F142</f>
        <v>53323</v>
      </c>
      <c r="G140" s="107">
        <f t="shared" si="10"/>
        <v>144.9</v>
      </c>
    </row>
    <row r="141" spans="1:7" s="24" customFormat="1" ht="19.5" customHeight="1">
      <c r="A141" s="168" t="s">
        <v>152</v>
      </c>
      <c r="B141" s="104">
        <v>6002</v>
      </c>
      <c r="C141" s="183">
        <v>315652</v>
      </c>
      <c r="D141" s="183">
        <v>381970</v>
      </c>
      <c r="E141" s="180">
        <v>331621</v>
      </c>
      <c r="F141" s="134">
        <f aca="true" t="shared" si="11" ref="F141:F147">SUM(D141)-C141</f>
        <v>66318</v>
      </c>
      <c r="G141" s="107">
        <f t="shared" si="10"/>
        <v>121</v>
      </c>
    </row>
    <row r="142" spans="1:7" s="24" customFormat="1" ht="19.5" customHeight="1">
      <c r="A142" s="168" t="s">
        <v>153</v>
      </c>
      <c r="B142" s="104">
        <v>6003</v>
      </c>
      <c r="C142" s="183">
        <v>197005</v>
      </c>
      <c r="D142" s="183">
        <v>210000</v>
      </c>
      <c r="E142" s="180">
        <v>213087</v>
      </c>
      <c r="F142" s="134">
        <f t="shared" si="11"/>
        <v>12995</v>
      </c>
      <c r="G142" s="107">
        <f t="shared" si="10"/>
        <v>106.6</v>
      </c>
    </row>
    <row r="143" spans="1:7" s="24" customFormat="1" ht="19.5" customHeight="1">
      <c r="A143" s="168" t="s">
        <v>154</v>
      </c>
      <c r="B143" s="104">
        <v>6010</v>
      </c>
      <c r="C143" s="183">
        <v>87426</v>
      </c>
      <c r="D143" s="183">
        <v>70000</v>
      </c>
      <c r="E143" s="180">
        <v>108967</v>
      </c>
      <c r="F143" s="134">
        <f t="shared" si="11"/>
        <v>-17426</v>
      </c>
      <c r="G143" s="107">
        <f t="shared" si="10"/>
        <v>80.1</v>
      </c>
    </row>
    <row r="144" spans="1:7" s="24" customFormat="1" ht="18.75">
      <c r="A144" s="168" t="s">
        <v>155</v>
      </c>
      <c r="B144" s="104">
        <v>6011</v>
      </c>
      <c r="C144" s="183">
        <v>578</v>
      </c>
      <c r="D144" s="183">
        <v>2072</v>
      </c>
      <c r="E144" s="180">
        <v>844</v>
      </c>
      <c r="F144" s="134">
        <f t="shared" si="11"/>
        <v>1494</v>
      </c>
      <c r="G144" s="107">
        <f t="shared" si="10"/>
        <v>358.5</v>
      </c>
    </row>
    <row r="145" spans="1:7" s="24" customFormat="1" ht="19.5" customHeight="1">
      <c r="A145" s="166" t="s">
        <v>156</v>
      </c>
      <c r="B145" s="120">
        <v>6020</v>
      </c>
      <c r="C145" s="185">
        <f>C139+C143</f>
        <v>220755</v>
      </c>
      <c r="D145" s="185">
        <f>D139+D143</f>
        <v>217700</v>
      </c>
      <c r="E145" s="186">
        <f>E139+E143</f>
        <v>249191</v>
      </c>
      <c r="F145" s="134">
        <f t="shared" si="11"/>
        <v>-3055</v>
      </c>
      <c r="G145" s="107">
        <f t="shared" si="10"/>
        <v>98.6</v>
      </c>
    </row>
    <row r="146" spans="1:7" s="24" customFormat="1" ht="37.5">
      <c r="A146" s="168" t="s">
        <v>157</v>
      </c>
      <c r="B146" s="104">
        <v>6030</v>
      </c>
      <c r="C146" s="183">
        <v>8</v>
      </c>
      <c r="D146" s="183"/>
      <c r="E146" s="180">
        <v>1</v>
      </c>
      <c r="F146" s="134">
        <f t="shared" si="11"/>
        <v>-8</v>
      </c>
      <c r="G146" s="107">
        <f t="shared" si="10"/>
        <v>0</v>
      </c>
    </row>
    <row r="147" spans="1:7" s="24" customFormat="1" ht="19.5" customHeight="1">
      <c r="A147" s="168" t="s">
        <v>158</v>
      </c>
      <c r="B147" s="104">
        <v>6040</v>
      </c>
      <c r="C147" s="183">
        <v>96835</v>
      </c>
      <c r="D147" s="183">
        <v>103000</v>
      </c>
      <c r="E147" s="180">
        <v>108544</v>
      </c>
      <c r="F147" s="134">
        <f t="shared" si="11"/>
        <v>6165</v>
      </c>
      <c r="G147" s="107">
        <f t="shared" si="10"/>
        <v>106.4</v>
      </c>
    </row>
    <row r="148" spans="1:7" s="24" customFormat="1" ht="19.5" customHeight="1">
      <c r="A148" s="166" t="s">
        <v>159</v>
      </c>
      <c r="B148" s="120">
        <v>6050</v>
      </c>
      <c r="C148" s="185">
        <f>SUM(C146:C147)</f>
        <v>96843</v>
      </c>
      <c r="D148" s="185">
        <f>SUM(D146:D147)</f>
        <v>103000</v>
      </c>
      <c r="E148" s="187">
        <f>SUM(E146:E147)</f>
        <v>108545</v>
      </c>
      <c r="F148" s="132">
        <f>SUM(F146:F147)</f>
        <v>6157</v>
      </c>
      <c r="G148" s="107">
        <f t="shared" si="10"/>
        <v>106.4</v>
      </c>
    </row>
    <row r="149" spans="1:7" s="24" customFormat="1" ht="37.5">
      <c r="A149" s="168" t="s">
        <v>160</v>
      </c>
      <c r="B149" s="104">
        <v>6060</v>
      </c>
      <c r="C149" s="183"/>
      <c r="D149" s="183"/>
      <c r="E149" s="180"/>
      <c r="F149" s="134">
        <f>SUM(D149)-C149</f>
        <v>0</v>
      </c>
      <c r="G149" s="107" t="e">
        <f t="shared" si="10"/>
        <v>#DIV/0!</v>
      </c>
    </row>
    <row r="150" spans="1:7" s="24" customFormat="1" ht="18.75">
      <c r="A150" s="168" t="s">
        <v>161</v>
      </c>
      <c r="B150" s="104">
        <v>6070</v>
      </c>
      <c r="C150" s="183"/>
      <c r="D150" s="183"/>
      <c r="E150" s="180"/>
      <c r="F150" s="134">
        <f>SUM(D150)-C150</f>
        <v>0</v>
      </c>
      <c r="G150" s="107" t="e">
        <f t="shared" si="10"/>
        <v>#DIV/0!</v>
      </c>
    </row>
    <row r="151" spans="1:7" s="24" customFormat="1" ht="19.5" customHeight="1">
      <c r="A151" s="166" t="s">
        <v>162</v>
      </c>
      <c r="B151" s="120">
        <v>6080</v>
      </c>
      <c r="C151" s="185">
        <f>C145-C148</f>
        <v>123912</v>
      </c>
      <c r="D151" s="188">
        <f>D145-D148</f>
        <v>114700</v>
      </c>
      <c r="E151" s="187">
        <f>E145-E148</f>
        <v>140646</v>
      </c>
      <c r="F151" s="132">
        <f>SUM(D151)-C151</f>
        <v>-9212</v>
      </c>
      <c r="G151" s="110">
        <f t="shared" si="10"/>
        <v>92.6</v>
      </c>
    </row>
    <row r="152" spans="1:7" s="24" customFormat="1" ht="18" customHeight="1">
      <c r="A152" s="338" t="s">
        <v>163</v>
      </c>
      <c r="B152" s="338"/>
      <c r="C152" s="338"/>
      <c r="D152" s="338"/>
      <c r="E152" s="338"/>
      <c r="F152" s="338"/>
      <c r="G152" s="338"/>
    </row>
    <row r="153" spans="1:7" s="24" customFormat="1" ht="37.5">
      <c r="A153" s="166" t="s">
        <v>164</v>
      </c>
      <c r="B153" s="171" t="s">
        <v>165</v>
      </c>
      <c r="C153" s="117">
        <f>SUM(C154:C156)</f>
        <v>0</v>
      </c>
      <c r="D153" s="117">
        <f>SUM(D154:D156)</f>
        <v>0</v>
      </c>
      <c r="E153" s="117">
        <f>SUM(E154:E156)</f>
        <v>0</v>
      </c>
      <c r="F153" s="132">
        <f aca="true" t="shared" si="12" ref="F153:F160">E153-D153</f>
        <v>0</v>
      </c>
      <c r="G153" s="110" t="e">
        <f aca="true" t="shared" si="13" ref="G153:G160">(E153/D153)*100</f>
        <v>#DIV/0!</v>
      </c>
    </row>
    <row r="154" spans="1:7" s="24" customFormat="1" ht="19.5" customHeight="1">
      <c r="A154" s="168" t="s">
        <v>166</v>
      </c>
      <c r="B154" s="172" t="s">
        <v>167</v>
      </c>
      <c r="C154" s="134"/>
      <c r="D154" s="134">
        <f>'6.1. Інша інфо_1'!F63</f>
        <v>0</v>
      </c>
      <c r="E154" s="134">
        <f>'6.1. Інша інфо_1'!H63</f>
        <v>0</v>
      </c>
      <c r="F154" s="134">
        <f t="shared" si="12"/>
        <v>0</v>
      </c>
      <c r="G154" s="107" t="e">
        <f t="shared" si="13"/>
        <v>#DIV/0!</v>
      </c>
    </row>
    <row r="155" spans="1:7" s="24" customFormat="1" ht="19.5" customHeight="1">
      <c r="A155" s="168" t="s">
        <v>168</v>
      </c>
      <c r="B155" s="172" t="s">
        <v>169</v>
      </c>
      <c r="C155" s="134"/>
      <c r="D155" s="134">
        <f>'6.1. Інша інфо_1'!F65</f>
        <v>0</v>
      </c>
      <c r="E155" s="134">
        <f>'6.1. Інша інфо_1'!H65</f>
        <v>0</v>
      </c>
      <c r="F155" s="134">
        <f t="shared" si="12"/>
        <v>0</v>
      </c>
      <c r="G155" s="107" t="e">
        <f t="shared" si="13"/>
        <v>#DIV/0!</v>
      </c>
    </row>
    <row r="156" spans="1:7" s="24" customFormat="1" ht="19.5" customHeight="1">
      <c r="A156" s="168" t="s">
        <v>170</v>
      </c>
      <c r="B156" s="172" t="s">
        <v>171</v>
      </c>
      <c r="C156" s="134"/>
      <c r="D156" s="134">
        <f>'6.1. Інша інфо_1'!F67</f>
        <v>0</v>
      </c>
      <c r="E156" s="134">
        <f>'6.1. Інша інфо_1'!H67</f>
        <v>0</v>
      </c>
      <c r="F156" s="134">
        <f t="shared" si="12"/>
        <v>0</v>
      </c>
      <c r="G156" s="107" t="e">
        <f t="shared" si="13"/>
        <v>#DIV/0!</v>
      </c>
    </row>
    <row r="157" spans="1:7" s="24" customFormat="1" ht="37.5">
      <c r="A157" s="166" t="s">
        <v>172</v>
      </c>
      <c r="B157" s="171" t="s">
        <v>173</v>
      </c>
      <c r="C157" s="117">
        <f>SUM(C158:C160)</f>
        <v>0</v>
      </c>
      <c r="D157" s="117">
        <f>SUM(D158:D160)</f>
        <v>0</v>
      </c>
      <c r="E157" s="117">
        <f>SUM(E158:E160)</f>
        <v>797</v>
      </c>
      <c r="F157" s="132">
        <f t="shared" si="12"/>
        <v>797</v>
      </c>
      <c r="G157" s="110" t="e">
        <f t="shared" si="13"/>
        <v>#DIV/0!</v>
      </c>
    </row>
    <row r="158" spans="1:7" s="24" customFormat="1" ht="19.5" customHeight="1">
      <c r="A158" s="168" t="s">
        <v>166</v>
      </c>
      <c r="B158" s="172" t="s">
        <v>174</v>
      </c>
      <c r="C158" s="173"/>
      <c r="D158" s="134">
        <f>'6.1. Інша інфо_1'!J63</f>
        <v>0</v>
      </c>
      <c r="E158" s="134">
        <f>'6.1. Інша інфо_1'!L63</f>
        <v>7</v>
      </c>
      <c r="F158" s="134">
        <f t="shared" si="12"/>
        <v>7</v>
      </c>
      <c r="G158" s="107" t="e">
        <f t="shared" si="13"/>
        <v>#DIV/0!</v>
      </c>
    </row>
    <row r="159" spans="1:7" s="24" customFormat="1" ht="19.5" customHeight="1">
      <c r="A159" s="168" t="s">
        <v>168</v>
      </c>
      <c r="B159" s="172" t="s">
        <v>175</v>
      </c>
      <c r="C159" s="173"/>
      <c r="D159" s="134">
        <f>'6.1. Інша інфо_1'!J65</f>
        <v>0</v>
      </c>
      <c r="E159" s="134">
        <f>'6.1. Інша інфо_1'!L65</f>
        <v>790</v>
      </c>
      <c r="F159" s="134">
        <f t="shared" si="12"/>
        <v>790</v>
      </c>
      <c r="G159" s="107" t="e">
        <f t="shared" si="13"/>
        <v>#DIV/0!</v>
      </c>
    </row>
    <row r="160" spans="1:7" s="24" customFormat="1" ht="19.5" customHeight="1">
      <c r="A160" s="168" t="s">
        <v>170</v>
      </c>
      <c r="B160" s="172" t="s">
        <v>176</v>
      </c>
      <c r="C160" s="173"/>
      <c r="D160" s="134">
        <f>'6.1. Інша інфо_1'!J67</f>
        <v>0</v>
      </c>
      <c r="E160" s="134">
        <f>'6.1. Інша інфо_1'!L67</f>
        <v>0</v>
      </c>
      <c r="F160" s="134">
        <f t="shared" si="12"/>
        <v>0</v>
      </c>
      <c r="G160" s="107" t="e">
        <f t="shared" si="13"/>
        <v>#DIV/0!</v>
      </c>
    </row>
    <row r="161" spans="1:7" s="24" customFormat="1" ht="18" customHeight="1">
      <c r="A161" s="337" t="s">
        <v>177</v>
      </c>
      <c r="B161" s="337"/>
      <c r="C161" s="337"/>
      <c r="D161" s="337"/>
      <c r="E161" s="337"/>
      <c r="F161" s="337"/>
      <c r="G161" s="337"/>
    </row>
    <row r="162" spans="1:7" s="24" customFormat="1" ht="74.25" customHeight="1">
      <c r="A162" s="174" t="s">
        <v>178</v>
      </c>
      <c r="B162" s="171" t="s">
        <v>179</v>
      </c>
      <c r="C162" s="117">
        <f>SUM(C163:C165)</f>
        <v>721</v>
      </c>
      <c r="D162" s="117">
        <f>SUM(D163:D165)</f>
        <v>715</v>
      </c>
      <c r="E162" s="117">
        <f>SUM(E163:E165)</f>
        <v>744</v>
      </c>
      <c r="F162" s="132">
        <f aca="true" t="shared" si="14" ref="F162:F170">E162-D162</f>
        <v>29</v>
      </c>
      <c r="G162" s="110">
        <f aca="true" t="shared" si="15" ref="G162:G170">(E162/D162)*100</f>
        <v>104.1</v>
      </c>
    </row>
    <row r="163" spans="1:7" s="24" customFormat="1" ht="18.75">
      <c r="A163" s="114" t="s">
        <v>180</v>
      </c>
      <c r="B163" s="172" t="s">
        <v>181</v>
      </c>
      <c r="C163" s="175">
        <f>'6.1. Інша інфо_1'!C12</f>
        <v>1</v>
      </c>
      <c r="D163" s="145">
        <f>'6.1. Інша інфо_1'!F12</f>
        <v>1</v>
      </c>
      <c r="E163" s="145">
        <f>'6.1. Інша інфо_1'!I12</f>
        <v>1</v>
      </c>
      <c r="F163" s="134">
        <f t="shared" si="14"/>
        <v>0</v>
      </c>
      <c r="G163" s="107">
        <f t="shared" si="15"/>
        <v>100</v>
      </c>
    </row>
    <row r="164" spans="1:7" s="24" customFormat="1" ht="37.5">
      <c r="A164" s="114" t="s">
        <v>182</v>
      </c>
      <c r="B164" s="172" t="s">
        <v>183</v>
      </c>
      <c r="C164" s="175">
        <f>'6.1. Інша інфо_1'!C13</f>
        <v>32</v>
      </c>
      <c r="D164" s="145">
        <f>'6.1. Інша інфо_1'!F13</f>
        <v>33</v>
      </c>
      <c r="E164" s="145">
        <f>'6.1. Інша інфо_1'!I13</f>
        <v>33</v>
      </c>
      <c r="F164" s="134">
        <f t="shared" si="14"/>
        <v>0</v>
      </c>
      <c r="G164" s="107">
        <f t="shared" si="15"/>
        <v>100</v>
      </c>
    </row>
    <row r="165" spans="1:7" s="24" customFormat="1" ht="18.75">
      <c r="A165" s="114" t="s">
        <v>184</v>
      </c>
      <c r="B165" s="172" t="s">
        <v>185</v>
      </c>
      <c r="C165" s="175">
        <f>'6.1. Інша інфо_1'!C14</f>
        <v>688</v>
      </c>
      <c r="D165" s="145">
        <f>'6.1. Інша інфо_1'!F14</f>
        <v>681</v>
      </c>
      <c r="E165" s="312">
        <f>'6.1. Інша інфо_1'!I14</f>
        <v>710</v>
      </c>
      <c r="F165" s="134">
        <f t="shared" si="14"/>
        <v>29</v>
      </c>
      <c r="G165" s="107">
        <f t="shared" si="15"/>
        <v>104.3</v>
      </c>
    </row>
    <row r="166" spans="1:7" s="24" customFormat="1" ht="19.5" customHeight="1">
      <c r="A166" s="166" t="s">
        <v>84</v>
      </c>
      <c r="B166" s="171" t="s">
        <v>186</v>
      </c>
      <c r="C166" s="176">
        <f>'6.1. Інша інфо_1'!C19</f>
        <v>75850</v>
      </c>
      <c r="D166" s="117">
        <f>'6.1. Інша інфо_1'!F19</f>
        <v>95238</v>
      </c>
      <c r="E166" s="313">
        <f>'6.1. Інша інфо_1'!I19</f>
        <v>95501</v>
      </c>
      <c r="F166" s="132">
        <f t="shared" si="14"/>
        <v>263</v>
      </c>
      <c r="G166" s="110">
        <f t="shared" si="15"/>
        <v>100.3</v>
      </c>
    </row>
    <row r="167" spans="1:7" s="24" customFormat="1" ht="56.25">
      <c r="A167" s="166" t="s">
        <v>187</v>
      </c>
      <c r="B167" s="171" t="s">
        <v>188</v>
      </c>
      <c r="C167" s="176">
        <f>'6.1. Інша інфо_1'!C23</f>
        <v>8767</v>
      </c>
      <c r="D167" s="117">
        <f>'6.1. Інша інфо_1'!F23</f>
        <v>11100</v>
      </c>
      <c r="E167" s="313">
        <f>'6.1. Інша інфо_1'!I23</f>
        <v>10697</v>
      </c>
      <c r="F167" s="132">
        <f t="shared" si="14"/>
        <v>-403</v>
      </c>
      <c r="G167" s="110">
        <f t="shared" si="15"/>
        <v>96.4</v>
      </c>
    </row>
    <row r="168" spans="1:7" s="24" customFormat="1" ht="19.5" customHeight="1">
      <c r="A168" s="114" t="s">
        <v>180</v>
      </c>
      <c r="B168" s="172" t="s">
        <v>189</v>
      </c>
      <c r="C168" s="117">
        <f>'6.1. Інша інфо_1'!C24</f>
        <v>70500</v>
      </c>
      <c r="D168" s="117">
        <f>'6.1. Інша інфо_1'!F24</f>
        <v>70000</v>
      </c>
      <c r="E168" s="117">
        <f>'6.1. Інша інфо_1'!I24</f>
        <v>77750</v>
      </c>
      <c r="F168" s="134">
        <f t="shared" si="14"/>
        <v>7750</v>
      </c>
      <c r="G168" s="107">
        <f t="shared" si="15"/>
        <v>111.1</v>
      </c>
    </row>
    <row r="169" spans="1:7" s="24" customFormat="1" ht="37.5">
      <c r="A169" s="114" t="s">
        <v>190</v>
      </c>
      <c r="B169" s="172" t="s">
        <v>191</v>
      </c>
      <c r="C169" s="175">
        <f>'6.1. Інша інфо_1'!C28</f>
        <v>12443</v>
      </c>
      <c r="D169" s="117">
        <f>'6.1. Інша інфо_1'!F28</f>
        <v>14444</v>
      </c>
      <c r="E169" s="117">
        <f>'6.1. Інша інфо_1'!I28</f>
        <v>14624</v>
      </c>
      <c r="F169" s="134">
        <f t="shared" si="14"/>
        <v>180</v>
      </c>
      <c r="G169" s="107">
        <f t="shared" si="15"/>
        <v>101.2</v>
      </c>
    </row>
    <row r="170" spans="1:7" s="24" customFormat="1" ht="19.5" customHeight="1">
      <c r="A170" s="114" t="s">
        <v>192</v>
      </c>
      <c r="B170" s="172" t="s">
        <v>193</v>
      </c>
      <c r="C170" s="175">
        <f>'6.1. Інша інфо_1'!C29</f>
        <v>8506</v>
      </c>
      <c r="D170" s="117">
        <f>'6.1. Інша інфо_1'!F29</f>
        <v>10851</v>
      </c>
      <c r="E170" s="117">
        <f>'6.1. Інша інфо_1'!I29</f>
        <v>10420</v>
      </c>
      <c r="F170" s="134">
        <f t="shared" si="14"/>
        <v>-431</v>
      </c>
      <c r="G170" s="107">
        <f t="shared" si="15"/>
        <v>96</v>
      </c>
    </row>
    <row r="171" spans="1:7" s="24" customFormat="1" ht="19.5" customHeight="1">
      <c r="A171" s="6"/>
      <c r="B171" s="25"/>
      <c r="C171" s="26"/>
      <c r="D171" s="27"/>
      <c r="E171" s="27"/>
      <c r="F171" s="27"/>
      <c r="G171" s="28"/>
    </row>
    <row r="172" spans="1:7" s="24" customFormat="1" ht="19.5" customHeight="1">
      <c r="A172" s="6"/>
      <c r="B172" s="25"/>
      <c r="C172" s="26"/>
      <c r="D172" s="27"/>
      <c r="E172" s="27"/>
      <c r="F172" s="27"/>
      <c r="G172" s="28"/>
    </row>
    <row r="173" spans="1:7" s="24" customFormat="1" ht="19.5" customHeight="1">
      <c r="A173" s="6"/>
      <c r="B173" s="25"/>
      <c r="C173" s="26"/>
      <c r="D173" s="27"/>
      <c r="E173" s="27"/>
      <c r="F173" s="27"/>
      <c r="G173" s="28"/>
    </row>
    <row r="174" spans="1:7" s="24" customFormat="1" ht="19.5" customHeight="1">
      <c r="A174" s="6"/>
      <c r="B174" s="25"/>
      <c r="C174" s="26"/>
      <c r="D174" s="27"/>
      <c r="E174" s="27"/>
      <c r="F174" s="27"/>
      <c r="G174" s="28"/>
    </row>
    <row r="175" spans="1:7" s="24" customFormat="1" ht="19.5" customHeight="1">
      <c r="A175" s="6"/>
      <c r="B175" s="25"/>
      <c r="C175" s="26"/>
      <c r="D175" s="27"/>
      <c r="E175" s="27"/>
      <c r="F175" s="27"/>
      <c r="G175" s="28"/>
    </row>
    <row r="176" spans="1:7" s="24" customFormat="1" ht="19.5" customHeight="1">
      <c r="A176" s="6"/>
      <c r="B176" s="25"/>
      <c r="C176" s="26"/>
      <c r="D176" s="27"/>
      <c r="E176" s="27"/>
      <c r="F176" s="27"/>
      <c r="G176" s="28"/>
    </row>
    <row r="177" ht="18.75">
      <c r="A177" s="29"/>
    </row>
    <row r="178" spans="1:7" s="24" customFormat="1" ht="18" customHeight="1">
      <c r="A178" s="339" t="s">
        <v>194</v>
      </c>
      <c r="B178" s="339"/>
      <c r="C178" s="340" t="s">
        <v>195</v>
      </c>
      <c r="D178" s="340"/>
      <c r="E178" s="340"/>
      <c r="F178" s="341" t="s">
        <v>196</v>
      </c>
      <c r="G178" s="341"/>
    </row>
    <row r="179" spans="1:8" s="34" customFormat="1" ht="19.5" customHeight="1">
      <c r="A179" s="32" t="s">
        <v>197</v>
      </c>
      <c r="B179" s="24"/>
      <c r="C179" s="335" t="s">
        <v>198</v>
      </c>
      <c r="D179" s="335"/>
      <c r="E179" s="335"/>
      <c r="F179" s="335" t="s">
        <v>199</v>
      </c>
      <c r="G179" s="335"/>
      <c r="H179" s="33"/>
    </row>
  </sheetData>
  <sheetProtection selectLockedCells="1" selectUnlockedCells="1"/>
  <mergeCells count="45">
    <mergeCell ref="E1:G1"/>
    <mergeCell ref="D8:G8"/>
    <mergeCell ref="B12:D12"/>
    <mergeCell ref="A7:C7"/>
    <mergeCell ref="A9:B9"/>
    <mergeCell ref="E2:G2"/>
    <mergeCell ref="E3:G3"/>
    <mergeCell ref="E4:G4"/>
    <mergeCell ref="E5:G5"/>
    <mergeCell ref="E6:G6"/>
    <mergeCell ref="B13:D13"/>
    <mergeCell ref="B14:D14"/>
    <mergeCell ref="B15:D15"/>
    <mergeCell ref="B16:D16"/>
    <mergeCell ref="B17:D17"/>
    <mergeCell ref="B18:D18"/>
    <mergeCell ref="B19:E19"/>
    <mergeCell ref="B20:E20"/>
    <mergeCell ref="A21:D21"/>
    <mergeCell ref="B22:E22"/>
    <mergeCell ref="B23:D23"/>
    <mergeCell ref="B24:D24"/>
    <mergeCell ref="A26:G26"/>
    <mergeCell ref="A27:G27"/>
    <mergeCell ref="A28:G28"/>
    <mergeCell ref="A30:G30"/>
    <mergeCell ref="A32:A33"/>
    <mergeCell ref="B32:B33"/>
    <mergeCell ref="C32:C33"/>
    <mergeCell ref="D32:G32"/>
    <mergeCell ref="A35:G35"/>
    <mergeCell ref="A83:G83"/>
    <mergeCell ref="A84:G84"/>
    <mergeCell ref="A97:G97"/>
    <mergeCell ref="A111:G111"/>
    <mergeCell ref="A119:G119"/>
    <mergeCell ref="C179:E179"/>
    <mergeCell ref="F179:G179"/>
    <mergeCell ref="A132:G132"/>
    <mergeCell ref="A138:G138"/>
    <mergeCell ref="A152:G152"/>
    <mergeCell ref="A161:G161"/>
    <mergeCell ref="A178:B178"/>
    <mergeCell ref="C178:E178"/>
    <mergeCell ref="F178:G178"/>
  </mergeCells>
  <printOptions/>
  <pageMargins left="0.7874015748031497" right="0.3937007874015748" top="0.3937007874015748" bottom="0.3937007874015748" header="0.5118110236220472" footer="0.5118110236220472"/>
  <pageSetup fitToHeight="0" fitToWidth="1" horizontalDpi="300" verticalDpi="300" orientation="portrait" paperSize="9" scale="70" r:id="rId1"/>
  <rowBreaks count="4" manualBreakCount="4">
    <brk id="51" max="6" man="1"/>
    <brk id="90" max="6" man="1"/>
    <brk id="118" max="6" man="1"/>
    <brk id="15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37" zoomScaleNormal="78" zoomScaleSheetLayoutView="137" zoomScalePageLayoutView="0" workbookViewId="0" topLeftCell="A13">
      <selection activeCell="B5" sqref="B5:D7"/>
    </sheetView>
  </sheetViews>
  <sheetFormatPr defaultColWidth="8.875" defaultRowHeight="12.75"/>
  <cols>
    <col min="1" max="1" width="39.625" style="222" customWidth="1"/>
    <col min="2" max="2" width="15.625" style="222" customWidth="1"/>
    <col min="3" max="3" width="13.75390625" style="222" customWidth="1"/>
    <col min="4" max="5" width="14.00390625" style="222" customWidth="1"/>
    <col min="6" max="6" width="14.25390625" style="222" customWidth="1"/>
    <col min="7" max="7" width="16.375" style="222" customWidth="1"/>
    <col min="8" max="8" width="14.875" style="222" customWidth="1"/>
    <col min="9" max="9" width="8.875" style="222" customWidth="1"/>
    <col min="10" max="10" width="21.125" style="222" customWidth="1"/>
    <col min="11" max="16384" width="8.875" style="222" customWidth="1"/>
  </cols>
  <sheetData>
    <row r="1" spans="1:8" ht="18.75">
      <c r="A1" s="221"/>
      <c r="B1" s="221"/>
      <c r="C1" s="221"/>
      <c r="D1" s="221"/>
      <c r="E1" s="221"/>
      <c r="F1" s="221"/>
      <c r="G1" s="433" t="s">
        <v>544</v>
      </c>
      <c r="H1" s="433"/>
    </row>
    <row r="2" spans="1:8" ht="18.75">
      <c r="A2" s="221"/>
      <c r="B2" s="221"/>
      <c r="C2" s="221"/>
      <c r="D2" s="221"/>
      <c r="E2" s="223"/>
      <c r="G2" s="224" t="s">
        <v>545</v>
      </c>
      <c r="H2" s="225"/>
    </row>
    <row r="3" spans="1:8" ht="39" customHeight="1">
      <c r="A3" s="221"/>
      <c r="B3" s="221"/>
      <c r="C3" s="221"/>
      <c r="D3" s="221"/>
      <c r="E3" s="223"/>
      <c r="F3" s="223"/>
      <c r="G3" s="223"/>
      <c r="H3" s="226"/>
    </row>
    <row r="4" spans="1:8" ht="15.75">
      <c r="A4" s="434" t="s">
        <v>546</v>
      </c>
      <c r="B4" s="434"/>
      <c r="C4" s="434"/>
      <c r="D4" s="434"/>
      <c r="E4" s="434"/>
      <c r="F4" s="434"/>
      <c r="G4" s="434"/>
      <c r="H4" s="434"/>
    </row>
    <row r="5" spans="1:8" ht="59.25" customHeight="1">
      <c r="A5" s="435" t="s">
        <v>547</v>
      </c>
      <c r="B5" s="436" t="s">
        <v>548</v>
      </c>
      <c r="C5" s="436" t="s">
        <v>549</v>
      </c>
      <c r="D5" s="436" t="s">
        <v>550</v>
      </c>
      <c r="E5" s="437" t="s">
        <v>551</v>
      </c>
      <c r="F5" s="437"/>
      <c r="G5" s="437" t="s">
        <v>552</v>
      </c>
      <c r="H5" s="437"/>
    </row>
    <row r="6" spans="1:8" ht="48.75" customHeight="1">
      <c r="A6" s="435"/>
      <c r="B6" s="436"/>
      <c r="C6" s="436"/>
      <c r="D6" s="436"/>
      <c r="E6" s="437"/>
      <c r="F6" s="437"/>
      <c r="G6" s="437"/>
      <c r="H6" s="437"/>
    </row>
    <row r="7" spans="1:8" ht="28.5" customHeight="1">
      <c r="A7" s="435"/>
      <c r="B7" s="436"/>
      <c r="C7" s="436"/>
      <c r="D7" s="436"/>
      <c r="E7" s="227" t="s">
        <v>553</v>
      </c>
      <c r="F7" s="227" t="s">
        <v>554</v>
      </c>
      <c r="G7" s="227" t="s">
        <v>553</v>
      </c>
      <c r="H7" s="227" t="s">
        <v>554</v>
      </c>
    </row>
    <row r="8" spans="1:8" ht="18.75" customHeight="1">
      <c r="A8" s="227">
        <v>1</v>
      </c>
      <c r="B8" s="228">
        <v>2</v>
      </c>
      <c r="C8" s="228">
        <v>3</v>
      </c>
      <c r="D8" s="228">
        <v>4</v>
      </c>
      <c r="E8" s="227" t="s">
        <v>555</v>
      </c>
      <c r="F8" s="227" t="s">
        <v>556</v>
      </c>
      <c r="G8" s="227" t="s">
        <v>557</v>
      </c>
      <c r="H8" s="227" t="s">
        <v>558</v>
      </c>
    </row>
    <row r="9" spans="1:10" ht="49.5">
      <c r="A9" s="229" t="s">
        <v>559</v>
      </c>
      <c r="B9" s="230">
        <f>B10+B11+B12</f>
        <v>193660</v>
      </c>
      <c r="C9" s="230">
        <f>C10+C11+C12</f>
        <v>277940</v>
      </c>
      <c r="D9" s="230">
        <f>D10+D11+D12</f>
        <v>271936</v>
      </c>
      <c r="E9" s="230">
        <f aca="true" t="shared" si="0" ref="E9:E16">SUM(D9)-C9</f>
        <v>-6004</v>
      </c>
      <c r="F9" s="231">
        <f aca="true" t="shared" si="1" ref="F9:F16">SUM(D9)/C9*100</f>
        <v>97.8</v>
      </c>
      <c r="G9" s="230">
        <f aca="true" t="shared" si="2" ref="G9:G16">SUM(D9)-B9</f>
        <v>78276</v>
      </c>
      <c r="H9" s="231">
        <f aca="true" t="shared" si="3" ref="H9:H16">SUM(D9)/B9*100</f>
        <v>140.4</v>
      </c>
      <c r="J9" s="232"/>
    </row>
    <row r="10" spans="1:10" ht="18.75">
      <c r="A10" s="233" t="s">
        <v>560</v>
      </c>
      <c r="B10" s="234">
        <v>106764</v>
      </c>
      <c r="C10" s="234">
        <v>141271</v>
      </c>
      <c r="D10" s="234">
        <v>141420</v>
      </c>
      <c r="E10" s="234">
        <f t="shared" si="0"/>
        <v>149</v>
      </c>
      <c r="F10" s="235">
        <f t="shared" si="1"/>
        <v>100.1</v>
      </c>
      <c r="G10" s="234">
        <f t="shared" si="2"/>
        <v>34656</v>
      </c>
      <c r="H10" s="235">
        <f t="shared" si="3"/>
        <v>132.5</v>
      </c>
      <c r="J10" s="232"/>
    </row>
    <row r="11" spans="1:10" ht="18.75">
      <c r="A11" s="233" t="s">
        <v>561</v>
      </c>
      <c r="B11" s="234">
        <v>81911</v>
      </c>
      <c r="C11" s="234">
        <v>124989</v>
      </c>
      <c r="D11" s="234">
        <v>125053</v>
      </c>
      <c r="E11" s="234">
        <f t="shared" si="0"/>
        <v>64</v>
      </c>
      <c r="F11" s="235">
        <f t="shared" si="1"/>
        <v>100.1</v>
      </c>
      <c r="G11" s="234">
        <f t="shared" si="2"/>
        <v>43142</v>
      </c>
      <c r="H11" s="235">
        <f t="shared" si="3"/>
        <v>152.7</v>
      </c>
      <c r="J11" s="232"/>
    </row>
    <row r="12" spans="1:10" ht="28.5" customHeight="1">
      <c r="A12" s="236" t="s">
        <v>562</v>
      </c>
      <c r="B12" s="234">
        <v>4985</v>
      </c>
      <c r="C12" s="237">
        <v>11680</v>
      </c>
      <c r="D12" s="237">
        <v>5463</v>
      </c>
      <c r="E12" s="234">
        <f t="shared" si="0"/>
        <v>-6217</v>
      </c>
      <c r="F12" s="235">
        <f t="shared" si="1"/>
        <v>46.8</v>
      </c>
      <c r="G12" s="234">
        <f t="shared" si="2"/>
        <v>478</v>
      </c>
      <c r="H12" s="235">
        <f t="shared" si="3"/>
        <v>109.6</v>
      </c>
      <c r="J12" s="232"/>
    </row>
    <row r="13" spans="1:10" ht="18.75">
      <c r="A13" s="238" t="s">
        <v>563</v>
      </c>
      <c r="B13" s="234">
        <v>43626</v>
      </c>
      <c r="C13" s="239">
        <v>29170</v>
      </c>
      <c r="D13" s="239">
        <v>28678</v>
      </c>
      <c r="E13" s="234">
        <f t="shared" si="0"/>
        <v>-492</v>
      </c>
      <c r="F13" s="235">
        <f t="shared" si="1"/>
        <v>98.3</v>
      </c>
      <c r="G13" s="234">
        <f t="shared" si="2"/>
        <v>-14948</v>
      </c>
      <c r="H13" s="235">
        <f t="shared" si="3"/>
        <v>65.7</v>
      </c>
      <c r="J13" s="232"/>
    </row>
    <row r="14" spans="1:10" ht="18.75">
      <c r="A14" s="238" t="s">
        <v>65</v>
      </c>
      <c r="B14" s="234">
        <v>1</v>
      </c>
      <c r="C14" s="240">
        <v>2</v>
      </c>
      <c r="D14" s="241">
        <v>4</v>
      </c>
      <c r="E14" s="234">
        <f t="shared" si="0"/>
        <v>2</v>
      </c>
      <c r="F14" s="235">
        <f t="shared" si="1"/>
        <v>200</v>
      </c>
      <c r="G14" s="234">
        <f t="shared" si="2"/>
        <v>3</v>
      </c>
      <c r="H14" s="235">
        <f t="shared" si="3"/>
        <v>400</v>
      </c>
      <c r="J14" s="232"/>
    </row>
    <row r="15" spans="1:10" ht="18.75">
      <c r="A15" s="238" t="s">
        <v>564</v>
      </c>
      <c r="B15" s="234">
        <v>6449</v>
      </c>
      <c r="C15" s="241">
        <v>6600</v>
      </c>
      <c r="D15" s="241">
        <v>3937</v>
      </c>
      <c r="E15" s="234">
        <f t="shared" si="0"/>
        <v>-2663</v>
      </c>
      <c r="F15" s="235">
        <f t="shared" si="1"/>
        <v>59.7</v>
      </c>
      <c r="G15" s="234">
        <f t="shared" si="2"/>
        <v>-2512</v>
      </c>
      <c r="H15" s="235">
        <f t="shared" si="3"/>
        <v>61</v>
      </c>
      <c r="J15" s="232"/>
    </row>
    <row r="16" spans="1:10" ht="25.5" customHeight="1">
      <c r="A16" s="242" t="s">
        <v>565</v>
      </c>
      <c r="B16" s="243">
        <f>B9+B13+B14+B15</f>
        <v>243736</v>
      </c>
      <c r="C16" s="244">
        <f>C9+C13+C14+C15</f>
        <v>313712</v>
      </c>
      <c r="D16" s="244">
        <f>D9+D13+D14+D15</f>
        <v>304555</v>
      </c>
      <c r="E16" s="230">
        <f t="shared" si="0"/>
        <v>-9157</v>
      </c>
      <c r="F16" s="231">
        <f t="shared" si="1"/>
        <v>97.1</v>
      </c>
      <c r="G16" s="230">
        <f t="shared" si="2"/>
        <v>60819</v>
      </c>
      <c r="H16" s="231">
        <f t="shared" si="3"/>
        <v>125</v>
      </c>
      <c r="J16" s="245"/>
    </row>
  </sheetData>
  <sheetProtection selectLockedCells="1" selectUnlockedCells="1"/>
  <mergeCells count="8">
    <mergeCell ref="G1:H1"/>
    <mergeCell ref="A4:H4"/>
    <mergeCell ref="A5:A7"/>
    <mergeCell ref="B5:B7"/>
    <mergeCell ref="C5:C7"/>
    <mergeCell ref="D5:D7"/>
    <mergeCell ref="E5:F6"/>
    <mergeCell ref="G5:H6"/>
  </mergeCells>
  <printOptions/>
  <pageMargins left="0.7875" right="0.39375" top="0.27569444444444446" bottom="0.27569444444444446" header="0.5118055555555555" footer="0.511805555555555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137" zoomScaleNormal="78" zoomScaleSheetLayoutView="137" zoomScalePageLayoutView="0" workbookViewId="0" topLeftCell="A4">
      <selection activeCell="B7" sqref="B7:G7"/>
    </sheetView>
  </sheetViews>
  <sheetFormatPr defaultColWidth="8.875" defaultRowHeight="12.75"/>
  <cols>
    <col min="1" max="1" width="33.375" style="221" customWidth="1"/>
    <col min="2" max="2" width="16.875" style="221" customWidth="1"/>
    <col min="3" max="3" width="14.375" style="221" customWidth="1"/>
    <col min="4" max="4" width="15.25390625" style="221" customWidth="1"/>
    <col min="5" max="5" width="11.875" style="221" customWidth="1"/>
    <col min="6" max="6" width="13.00390625" style="221" customWidth="1"/>
    <col min="7" max="7" width="12.125" style="221" customWidth="1"/>
    <col min="8" max="8" width="13.375" style="221" customWidth="1"/>
    <col min="9" max="9" width="14.25390625" style="221" customWidth="1"/>
    <col min="10" max="10" width="13.125" style="222" customWidth="1"/>
    <col min="11" max="16384" width="8.875" style="222" customWidth="1"/>
  </cols>
  <sheetData>
    <row r="1" spans="1:9" ht="18.75">
      <c r="A1" s="246"/>
      <c r="B1" s="246"/>
      <c r="C1" s="246"/>
      <c r="D1" s="246"/>
      <c r="E1" s="246"/>
      <c r="F1" s="246"/>
      <c r="G1" s="247"/>
      <c r="H1" s="248" t="s">
        <v>566</v>
      </c>
      <c r="I1" s="247"/>
    </row>
    <row r="2" spans="1:9" ht="18.75">
      <c r="A2" s="246"/>
      <c r="B2" s="246"/>
      <c r="C2" s="246"/>
      <c r="D2" s="246"/>
      <c r="E2" s="246"/>
      <c r="F2" s="246"/>
      <c r="G2" s="433" t="s">
        <v>545</v>
      </c>
      <c r="H2" s="433"/>
      <c r="I2" s="433"/>
    </row>
    <row r="3" spans="1:9" ht="18.75">
      <c r="A3" s="246"/>
      <c r="B3" s="246"/>
      <c r="C3" s="246"/>
      <c r="D3" s="246"/>
      <c r="E3" s="246"/>
      <c r="I3" s="246"/>
    </row>
    <row r="4" spans="1:9" ht="18.75">
      <c r="A4" s="246"/>
      <c r="B4" s="246"/>
      <c r="C4" s="246"/>
      <c r="D4" s="246"/>
      <c r="E4" s="246"/>
      <c r="G4" s="223"/>
      <c r="H4" s="226"/>
      <c r="I4" s="246"/>
    </row>
    <row r="5" spans="1:9" ht="18.75">
      <c r="A5" s="246"/>
      <c r="B5" s="246"/>
      <c r="C5" s="246"/>
      <c r="D5" s="246"/>
      <c r="E5" s="246"/>
      <c r="F5" s="246"/>
      <c r="G5" s="246"/>
      <c r="H5" s="246"/>
      <c r="I5" s="246"/>
    </row>
    <row r="6" spans="1:9" ht="16.5">
      <c r="A6" s="438" t="s">
        <v>567</v>
      </c>
      <c r="B6" s="438"/>
      <c r="C6" s="438"/>
      <c r="D6" s="438"/>
      <c r="E6" s="438"/>
      <c r="F6" s="438"/>
      <c r="G6" s="438"/>
      <c r="H6" s="438"/>
      <c r="I6" s="438"/>
    </row>
    <row r="7" spans="1:9" ht="63.75" customHeight="1">
      <c r="A7" s="435" t="s">
        <v>568</v>
      </c>
      <c r="B7" s="436" t="s">
        <v>548</v>
      </c>
      <c r="C7" s="436"/>
      <c r="D7" s="436" t="s">
        <v>569</v>
      </c>
      <c r="E7" s="436"/>
      <c r="F7" s="436" t="s">
        <v>550</v>
      </c>
      <c r="G7" s="436"/>
      <c r="H7" s="437" t="s">
        <v>570</v>
      </c>
      <c r="I7" s="437"/>
    </row>
    <row r="8" spans="1:9" ht="168" customHeight="1">
      <c r="A8" s="435"/>
      <c r="B8" s="227" t="s">
        <v>553</v>
      </c>
      <c r="C8" s="228" t="s">
        <v>571</v>
      </c>
      <c r="D8" s="227" t="s">
        <v>553</v>
      </c>
      <c r="E8" s="228" t="s">
        <v>571</v>
      </c>
      <c r="F8" s="227" t="s">
        <v>553</v>
      </c>
      <c r="G8" s="228" t="s">
        <v>571</v>
      </c>
      <c r="H8" s="249" t="s">
        <v>572</v>
      </c>
      <c r="I8" s="249" t="s">
        <v>573</v>
      </c>
    </row>
    <row r="9" spans="1:9" ht="18.75" customHeight="1">
      <c r="A9" s="227">
        <v>1</v>
      </c>
      <c r="B9" s="227">
        <v>2</v>
      </c>
      <c r="C9" s="228">
        <v>3</v>
      </c>
      <c r="D9" s="227">
        <v>4</v>
      </c>
      <c r="E9" s="228">
        <v>5</v>
      </c>
      <c r="F9" s="227">
        <v>6</v>
      </c>
      <c r="G9" s="228">
        <v>7</v>
      </c>
      <c r="H9" s="228" t="s">
        <v>574</v>
      </c>
      <c r="I9" s="228" t="s">
        <v>575</v>
      </c>
    </row>
    <row r="10" spans="1:10" ht="18.75">
      <c r="A10" s="250" t="s">
        <v>576</v>
      </c>
      <c r="B10" s="251">
        <v>85261</v>
      </c>
      <c r="C10" s="234">
        <f>SUM(B10)/B15*100</f>
        <v>38</v>
      </c>
      <c r="D10" s="234">
        <v>109420</v>
      </c>
      <c r="E10" s="234">
        <f>SUM(D10)/D15*100</f>
        <v>38</v>
      </c>
      <c r="F10" s="234">
        <v>114774</v>
      </c>
      <c r="G10" s="234">
        <f>SUM(F10)/F15*100</f>
        <v>41</v>
      </c>
      <c r="H10" s="235">
        <f>SUM(F10)/D10*100</f>
        <v>104.9</v>
      </c>
      <c r="I10" s="235">
        <f aca="true" t="shared" si="0" ref="I10:I15">SUM(F10)/B10*100</f>
        <v>134.6</v>
      </c>
      <c r="J10" s="252"/>
    </row>
    <row r="11" spans="1:10" ht="18.75">
      <c r="A11" s="250" t="s">
        <v>84</v>
      </c>
      <c r="B11" s="251">
        <v>75850</v>
      </c>
      <c r="C11" s="234">
        <f>SUM(B11)/B15*100</f>
        <v>34</v>
      </c>
      <c r="D11" s="253">
        <v>95238</v>
      </c>
      <c r="E11" s="234">
        <f>SUM(D11)/D15*100</f>
        <v>33</v>
      </c>
      <c r="F11" s="254">
        <v>94568</v>
      </c>
      <c r="G11" s="234">
        <f>SUM(F11)/F15*100</f>
        <v>34</v>
      </c>
      <c r="H11" s="235">
        <f>SUM(F11)/D11*100</f>
        <v>99.3</v>
      </c>
      <c r="I11" s="235">
        <f t="shared" si="0"/>
        <v>124.7</v>
      </c>
      <c r="J11" s="252"/>
    </row>
    <row r="12" spans="1:10" ht="33">
      <c r="A12" s="233" t="s">
        <v>85</v>
      </c>
      <c r="B12" s="251">
        <v>16614</v>
      </c>
      <c r="C12" s="234">
        <f>SUM(B12)/B15*100</f>
        <v>7</v>
      </c>
      <c r="D12" s="253">
        <v>21000</v>
      </c>
      <c r="E12" s="234">
        <f>SUM(D12)/D15*100</f>
        <v>7</v>
      </c>
      <c r="F12" s="254">
        <v>20736</v>
      </c>
      <c r="G12" s="234">
        <f>SUM(F12)/F15*100</f>
        <v>7</v>
      </c>
      <c r="H12" s="235"/>
      <c r="I12" s="235">
        <f t="shared" si="0"/>
        <v>124.8</v>
      </c>
      <c r="J12" s="252"/>
    </row>
    <row r="13" spans="1:10" ht="18.75">
      <c r="A13" s="250" t="s">
        <v>86</v>
      </c>
      <c r="B13" s="251">
        <v>20003</v>
      </c>
      <c r="C13" s="234">
        <f>SUM(B13)/B15*100</f>
        <v>9</v>
      </c>
      <c r="D13" s="253">
        <v>23220</v>
      </c>
      <c r="E13" s="234">
        <f>SUM(D13)/D15*100</f>
        <v>8</v>
      </c>
      <c r="F13" s="254">
        <v>17091</v>
      </c>
      <c r="G13" s="234">
        <f>SUM(F13)/F15*100</f>
        <v>6</v>
      </c>
      <c r="H13" s="235">
        <f>SUM(F13)/D13*100</f>
        <v>73.6</v>
      </c>
      <c r="I13" s="235">
        <f t="shared" si="0"/>
        <v>85.4</v>
      </c>
      <c r="J13" s="252"/>
    </row>
    <row r="14" spans="1:10" ht="18.75">
      <c r="A14" s="250" t="s">
        <v>87</v>
      </c>
      <c r="B14" s="251">
        <v>28614</v>
      </c>
      <c r="C14" s="234">
        <f>SUM(B14)/B15*100</f>
        <v>13</v>
      </c>
      <c r="D14" s="253">
        <v>40644</v>
      </c>
      <c r="E14" s="234">
        <f>SUM(D14)/D15*100</f>
        <v>14</v>
      </c>
      <c r="F14" s="254">
        <v>29428</v>
      </c>
      <c r="G14" s="234">
        <f>SUM(F14)/F15*100</f>
        <v>11</v>
      </c>
      <c r="H14" s="235">
        <f>SUM(F14)/D14*100</f>
        <v>72.4</v>
      </c>
      <c r="I14" s="235">
        <f t="shared" si="0"/>
        <v>102.8</v>
      </c>
      <c r="J14" s="252"/>
    </row>
    <row r="15" spans="1:10" ht="26.25" customHeight="1">
      <c r="A15" s="255" t="s">
        <v>577</v>
      </c>
      <c r="B15" s="230">
        <f>SUM(B10:B14)</f>
        <v>226342</v>
      </c>
      <c r="C15" s="230">
        <v>100</v>
      </c>
      <c r="D15" s="230">
        <f>SUM(D10:D14)</f>
        <v>289522</v>
      </c>
      <c r="E15" s="230">
        <v>100</v>
      </c>
      <c r="F15" s="230">
        <f>SUM(F10:F14)</f>
        <v>276597</v>
      </c>
      <c r="G15" s="230">
        <v>100</v>
      </c>
      <c r="H15" s="231">
        <f>SUM(F15)/D15*100</f>
        <v>95.5</v>
      </c>
      <c r="I15" s="231">
        <f t="shared" si="0"/>
        <v>122.2</v>
      </c>
      <c r="J15" s="256"/>
    </row>
  </sheetData>
  <sheetProtection selectLockedCells="1" selectUnlockedCells="1"/>
  <mergeCells count="7">
    <mergeCell ref="G2:I2"/>
    <mergeCell ref="A6:I6"/>
    <mergeCell ref="A7:A8"/>
    <mergeCell ref="B7:C7"/>
    <mergeCell ref="D7:E7"/>
    <mergeCell ref="F7:G7"/>
    <mergeCell ref="H7:I7"/>
  </mergeCells>
  <printOptions/>
  <pageMargins left="0.7875" right="0.27569444444444446" top="0.27569444444444446" bottom="0.27569444444444446" header="0.5118055555555555" footer="0.5118055555555555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3"/>
  <sheetViews>
    <sheetView view="pageBreakPreview" zoomScale="137" zoomScaleNormal="78" zoomScaleSheetLayoutView="137" zoomScalePageLayoutView="0" workbookViewId="0" topLeftCell="A22">
      <selection activeCell="B11" sqref="B11"/>
    </sheetView>
  </sheetViews>
  <sheetFormatPr defaultColWidth="8.875" defaultRowHeight="12.75"/>
  <cols>
    <col min="1" max="1" width="59.375" style="222" customWidth="1"/>
    <col min="2" max="2" width="34.625" style="222" customWidth="1"/>
    <col min="3" max="16384" width="8.875" style="222" customWidth="1"/>
  </cols>
  <sheetData>
    <row r="1" spans="1:2" ht="18.75">
      <c r="A1" s="221"/>
      <c r="B1" s="225" t="s">
        <v>578</v>
      </c>
    </row>
    <row r="2" spans="1:2" ht="18.75">
      <c r="A2" s="221"/>
      <c r="B2" s="257" t="s">
        <v>545</v>
      </c>
    </row>
    <row r="3" spans="1:2" ht="18.75">
      <c r="A3" s="221"/>
      <c r="B3" s="258"/>
    </row>
    <row r="4" spans="1:2" ht="18.75">
      <c r="A4" s="221"/>
      <c r="B4" s="258"/>
    </row>
    <row r="5" spans="1:2" ht="16.5">
      <c r="A5" s="439" t="s">
        <v>579</v>
      </c>
      <c r="B5" s="439"/>
    </row>
    <row r="6" spans="1:2" ht="16.5">
      <c r="A6" s="259" t="s">
        <v>580</v>
      </c>
      <c r="B6" s="259" t="s">
        <v>568</v>
      </c>
    </row>
    <row r="7" spans="1:2" ht="49.5">
      <c r="A7" s="260" t="s">
        <v>581</v>
      </c>
      <c r="B7" s="261">
        <f>'[32]таб1 до пояс (Звіт)'!B9</f>
        <v>193660</v>
      </c>
    </row>
    <row r="8" spans="1:2" ht="49.5">
      <c r="A8" s="260" t="s">
        <v>582</v>
      </c>
      <c r="B8" s="262">
        <f>'[32]таб1 до пояс (Звіт)'!D9</f>
        <v>271936</v>
      </c>
    </row>
    <row r="9" spans="1:2" ht="33">
      <c r="A9" s="260" t="s">
        <v>583</v>
      </c>
      <c r="B9" s="263">
        <f>SUM(B8)/B7*100</f>
        <v>140.4</v>
      </c>
    </row>
    <row r="10" spans="1:2" ht="33">
      <c r="A10" s="260" t="s">
        <v>584</v>
      </c>
      <c r="B10" s="261">
        <f>'[32]таб 5 до пояс (Звіт) '!B11</f>
        <v>74352</v>
      </c>
    </row>
    <row r="11" spans="1:2" ht="33">
      <c r="A11" s="260" t="s">
        <v>585</v>
      </c>
      <c r="B11" s="262">
        <f>'[32]таб 5 до пояс (Звіт) '!D11</f>
        <v>92548</v>
      </c>
    </row>
    <row r="12" spans="1:2" ht="16.5">
      <c r="A12" s="260" t="s">
        <v>586</v>
      </c>
      <c r="B12" s="263">
        <f>SUM(B11)/B10*100</f>
        <v>124.5</v>
      </c>
    </row>
    <row r="13" spans="1:2" ht="49.5">
      <c r="A13" s="260" t="s">
        <v>587</v>
      </c>
      <c r="B13" s="262">
        <f>B9-B12</f>
        <v>16</v>
      </c>
    </row>
    <row r="14" spans="1:2" ht="15.75">
      <c r="A14" s="248"/>
      <c r="B14" s="248"/>
    </row>
    <row r="15" spans="1:2" ht="15.75">
      <c r="A15" s="248"/>
      <c r="B15" s="248"/>
    </row>
    <row r="16" spans="1:2" ht="15.75">
      <c r="A16" s="248"/>
      <c r="B16" s="257" t="s">
        <v>588</v>
      </c>
    </row>
    <row r="17" spans="1:2" ht="15.75">
      <c r="A17" s="248"/>
      <c r="B17" s="257" t="s">
        <v>545</v>
      </c>
    </row>
    <row r="18" spans="1:2" ht="15.75">
      <c r="A18" s="248"/>
      <c r="B18" s="264"/>
    </row>
    <row r="19" spans="1:2" ht="7.5" customHeight="1">
      <c r="A19" s="248"/>
      <c r="B19" s="264"/>
    </row>
    <row r="20" spans="1:2" ht="16.5">
      <c r="A20" s="439" t="s">
        <v>589</v>
      </c>
      <c r="B20" s="439"/>
    </row>
    <row r="21" spans="1:2" ht="16.5">
      <c r="A21" s="259" t="s">
        <v>568</v>
      </c>
      <c r="B21" s="265" t="s">
        <v>590</v>
      </c>
    </row>
    <row r="22" spans="1:2" ht="16.5">
      <c r="A22" s="260" t="s">
        <v>591</v>
      </c>
      <c r="B22" s="266">
        <f>B23+B27</f>
        <v>62759</v>
      </c>
    </row>
    <row r="23" spans="1:2" ht="16.5">
      <c r="A23" s="260" t="s">
        <v>592</v>
      </c>
      <c r="B23" s="266">
        <v>1365.97</v>
      </c>
    </row>
    <row r="24" spans="1:2" ht="16.5">
      <c r="A24" s="267" t="s">
        <v>593</v>
      </c>
      <c r="B24" s="266">
        <v>1365.97</v>
      </c>
    </row>
    <row r="25" spans="1:2" ht="16.5">
      <c r="A25" s="267" t="s">
        <v>594</v>
      </c>
      <c r="B25" s="266">
        <v>0</v>
      </c>
    </row>
    <row r="26" spans="1:2" ht="16.5">
      <c r="A26" s="267" t="s">
        <v>595</v>
      </c>
      <c r="B26" s="266">
        <v>0</v>
      </c>
    </row>
    <row r="27" spans="1:2" ht="16.5">
      <c r="A27" s="267" t="s">
        <v>596</v>
      </c>
      <c r="B27" s="266">
        <v>61393.1</v>
      </c>
    </row>
    <row r="28" spans="1:2" ht="16.5">
      <c r="A28" s="267" t="s">
        <v>593</v>
      </c>
      <c r="B28" s="266">
        <v>61393.1</v>
      </c>
    </row>
    <row r="29" spans="1:2" ht="16.5">
      <c r="A29" s="267" t="s">
        <v>594</v>
      </c>
      <c r="B29" s="266">
        <v>0</v>
      </c>
    </row>
    <row r="30" spans="1:2" ht="16.5">
      <c r="A30" s="267" t="s">
        <v>595</v>
      </c>
      <c r="B30" s="266">
        <v>0</v>
      </c>
    </row>
    <row r="31" spans="1:2" ht="16.5">
      <c r="A31" s="268" t="s">
        <v>597</v>
      </c>
      <c r="B31" s="266">
        <v>3164.2</v>
      </c>
    </row>
    <row r="32" spans="1:2" ht="16.5">
      <c r="A32" s="269" t="s">
        <v>598</v>
      </c>
      <c r="B32" s="266">
        <v>3164.2</v>
      </c>
    </row>
    <row r="33" spans="1:2" ht="16.5">
      <c r="A33" s="269" t="s">
        <v>599</v>
      </c>
      <c r="B33" s="270"/>
    </row>
  </sheetData>
  <sheetProtection selectLockedCells="1" selectUnlockedCells="1"/>
  <mergeCells count="2">
    <mergeCell ref="A5:B5"/>
    <mergeCell ref="A20:B20"/>
  </mergeCells>
  <printOptions/>
  <pageMargins left="0.7875" right="0.39375" top="0.27569444444444446" bottom="0.27569444444444446" header="0.5118055555555555" footer="0.511805555555555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37" zoomScaleNormal="78" zoomScaleSheetLayoutView="137" zoomScalePageLayoutView="0" workbookViewId="0" topLeftCell="A1">
      <selection activeCell="B5" sqref="B5:D7"/>
    </sheetView>
  </sheetViews>
  <sheetFormatPr defaultColWidth="8.875" defaultRowHeight="12.75"/>
  <cols>
    <col min="1" max="1" width="38.625" style="222" customWidth="1"/>
    <col min="2" max="2" width="13.25390625" style="222" customWidth="1"/>
    <col min="3" max="3" width="12.875" style="222" customWidth="1"/>
    <col min="4" max="4" width="19.00390625" style="222" customWidth="1"/>
    <col min="5" max="5" width="10.75390625" style="222" customWidth="1"/>
    <col min="6" max="6" width="12.75390625" style="222" customWidth="1"/>
    <col min="7" max="7" width="15.875" style="222" customWidth="1"/>
    <col min="8" max="8" width="16.875" style="222" customWidth="1"/>
    <col min="9" max="16384" width="8.875" style="222" customWidth="1"/>
  </cols>
  <sheetData>
    <row r="1" spans="1:8" ht="18.75">
      <c r="A1" s="221"/>
      <c r="B1" s="221"/>
      <c r="C1" s="221"/>
      <c r="D1" s="221"/>
      <c r="E1" s="221"/>
      <c r="F1" s="221"/>
      <c r="G1" s="433" t="s">
        <v>600</v>
      </c>
      <c r="H1" s="433"/>
    </row>
    <row r="2" spans="1:8" ht="18.75">
      <c r="A2" s="221"/>
      <c r="B2" s="221"/>
      <c r="C2" s="223"/>
      <c r="D2" s="223"/>
      <c r="E2" s="221"/>
      <c r="G2" s="257" t="s">
        <v>545</v>
      </c>
      <c r="H2" s="224"/>
    </row>
    <row r="3" spans="1:8" ht="18.75">
      <c r="A3" s="221"/>
      <c r="B3" s="221"/>
      <c r="C3" s="223"/>
      <c r="D3" s="223"/>
      <c r="E3" s="221"/>
      <c r="F3" s="226"/>
      <c r="G3" s="221"/>
      <c r="H3" s="258"/>
    </row>
    <row r="4" spans="1:8" ht="16.5">
      <c r="A4" s="438" t="s">
        <v>601</v>
      </c>
      <c r="B4" s="438"/>
      <c r="C4" s="438"/>
      <c r="D4" s="438"/>
      <c r="E4" s="438"/>
      <c r="F4" s="438"/>
      <c r="G4" s="438"/>
      <c r="H4" s="438"/>
    </row>
    <row r="5" spans="1:8" ht="33" customHeight="1">
      <c r="A5" s="435" t="s">
        <v>568</v>
      </c>
      <c r="B5" s="440" t="s">
        <v>602</v>
      </c>
      <c r="C5" s="440" t="s">
        <v>569</v>
      </c>
      <c r="D5" s="436" t="s">
        <v>603</v>
      </c>
      <c r="E5" s="437" t="s">
        <v>604</v>
      </c>
      <c r="F5" s="437"/>
      <c r="G5" s="437" t="s">
        <v>605</v>
      </c>
      <c r="H5" s="437"/>
    </row>
    <row r="6" spans="1:8" ht="36.75" customHeight="1">
      <c r="A6" s="435"/>
      <c r="B6" s="440"/>
      <c r="C6" s="440"/>
      <c r="D6" s="436"/>
      <c r="E6" s="437"/>
      <c r="F6" s="437"/>
      <c r="G6" s="441" t="s">
        <v>606</v>
      </c>
      <c r="H6" s="441" t="s">
        <v>607</v>
      </c>
    </row>
    <row r="7" spans="1:8" ht="98.25" customHeight="1">
      <c r="A7" s="435"/>
      <c r="B7" s="440"/>
      <c r="C7" s="440"/>
      <c r="D7" s="436"/>
      <c r="E7" s="227" t="s">
        <v>608</v>
      </c>
      <c r="F7" s="227" t="s">
        <v>609</v>
      </c>
      <c r="G7" s="441"/>
      <c r="H7" s="441"/>
    </row>
    <row r="8" spans="1:8" ht="21.75" customHeight="1">
      <c r="A8" s="227">
        <v>1</v>
      </c>
      <c r="B8" s="228">
        <v>2</v>
      </c>
      <c r="C8" s="228">
        <v>3</v>
      </c>
      <c r="D8" s="228" t="s">
        <v>610</v>
      </c>
      <c r="E8" s="227">
        <v>5</v>
      </c>
      <c r="F8" s="227">
        <v>6</v>
      </c>
      <c r="G8" s="228" t="s">
        <v>611</v>
      </c>
      <c r="H8" s="228" t="s">
        <v>558</v>
      </c>
    </row>
    <row r="9" spans="1:8" ht="33">
      <c r="A9" s="233" t="s">
        <v>612</v>
      </c>
      <c r="B9" s="271">
        <f>'[32]таб1 до пояс (Звіт)'!B9</f>
        <v>193660</v>
      </c>
      <c r="C9" s="271">
        <f>'[32]таб1 до пояс (Звіт)'!C9</f>
        <v>277940</v>
      </c>
      <c r="D9" s="271">
        <f>'[32]таб1 до пояс (Звіт)'!D9</f>
        <v>271936</v>
      </c>
      <c r="E9" s="271" t="s">
        <v>447</v>
      </c>
      <c r="F9" s="271" t="s">
        <v>447</v>
      </c>
      <c r="G9" s="263">
        <f aca="true" t="shared" si="0" ref="G9:G14">SUM(D9)/C9*100</f>
        <v>97.8</v>
      </c>
      <c r="H9" s="263">
        <f aca="true" t="shared" si="1" ref="H9:H14">SUM(D9)/B9*100</f>
        <v>140.4</v>
      </c>
    </row>
    <row r="10" spans="1:8" ht="33">
      <c r="A10" s="233" t="s">
        <v>613</v>
      </c>
      <c r="B10" s="271">
        <v>721</v>
      </c>
      <c r="C10" s="271">
        <v>715</v>
      </c>
      <c r="D10" s="271">
        <f>E10+F10</f>
        <v>742</v>
      </c>
      <c r="E10" s="271">
        <v>34</v>
      </c>
      <c r="F10" s="271">
        <v>708</v>
      </c>
      <c r="G10" s="263">
        <f t="shared" si="0"/>
        <v>103.8</v>
      </c>
      <c r="H10" s="263">
        <f t="shared" si="1"/>
        <v>102.9</v>
      </c>
    </row>
    <row r="11" spans="1:8" ht="33">
      <c r="A11" s="272" t="s">
        <v>614</v>
      </c>
      <c r="B11" s="271">
        <f>B12+B13</f>
        <v>74352</v>
      </c>
      <c r="C11" s="271">
        <f>C12+C13</f>
        <v>95238</v>
      </c>
      <c r="D11" s="271">
        <f>E11+F11</f>
        <v>92548</v>
      </c>
      <c r="E11" s="271">
        <f>E12+E13</f>
        <v>6640</v>
      </c>
      <c r="F11" s="271">
        <f>F12+F13</f>
        <v>85908</v>
      </c>
      <c r="G11" s="263">
        <f t="shared" si="0"/>
        <v>97.2</v>
      </c>
      <c r="H11" s="263">
        <f t="shared" si="1"/>
        <v>124.5</v>
      </c>
    </row>
    <row r="12" spans="1:8" ht="16.5">
      <c r="A12" s="272" t="s">
        <v>615</v>
      </c>
      <c r="B12" s="261">
        <v>54267</v>
      </c>
      <c r="C12" s="271">
        <v>71830</v>
      </c>
      <c r="D12" s="271">
        <f>E12+F12</f>
        <v>67162</v>
      </c>
      <c r="E12" s="271">
        <v>5023</v>
      </c>
      <c r="F12" s="271">
        <v>62139</v>
      </c>
      <c r="G12" s="263">
        <f t="shared" si="0"/>
        <v>93.5</v>
      </c>
      <c r="H12" s="263">
        <f t="shared" si="1"/>
        <v>123.8</v>
      </c>
    </row>
    <row r="13" spans="1:8" ht="16.5">
      <c r="A13" s="272" t="s">
        <v>616</v>
      </c>
      <c r="B13" s="261">
        <v>20085</v>
      </c>
      <c r="C13" s="271">
        <v>23408</v>
      </c>
      <c r="D13" s="271">
        <f>E13+F13</f>
        <v>25386</v>
      </c>
      <c r="E13" s="271">
        <v>1617</v>
      </c>
      <c r="F13" s="271">
        <v>23769</v>
      </c>
      <c r="G13" s="263">
        <f t="shared" si="0"/>
        <v>108.5</v>
      </c>
      <c r="H13" s="263">
        <f t="shared" si="1"/>
        <v>126.4</v>
      </c>
    </row>
    <row r="14" spans="1:8" ht="33">
      <c r="A14" s="272" t="s">
        <v>617</v>
      </c>
      <c r="B14" s="271">
        <f>B11/B10/12*1000</f>
        <v>8594</v>
      </c>
      <c r="C14" s="271">
        <f>C11/C10/12*1000</f>
        <v>11100</v>
      </c>
      <c r="D14" s="271">
        <f>D11/D10/12*1000</f>
        <v>10394</v>
      </c>
      <c r="E14" s="271">
        <f>E11/E10/12*1000</f>
        <v>16275</v>
      </c>
      <c r="F14" s="271">
        <f>F11/F10/12*1000</f>
        <v>10112</v>
      </c>
      <c r="G14" s="263">
        <f t="shared" si="0"/>
        <v>93.6</v>
      </c>
      <c r="H14" s="263">
        <f t="shared" si="1"/>
        <v>120.9</v>
      </c>
    </row>
    <row r="15" spans="1:8" ht="33">
      <c r="A15" s="272" t="s">
        <v>618</v>
      </c>
      <c r="B15" s="271"/>
      <c r="C15" s="271"/>
      <c r="D15" s="271"/>
      <c r="E15" s="271"/>
      <c r="F15" s="271"/>
      <c r="G15" s="263"/>
      <c r="H15" s="263"/>
    </row>
    <row r="16" spans="1:8" ht="33">
      <c r="A16" s="272" t="s">
        <v>619</v>
      </c>
      <c r="B16" s="271">
        <f>B9/B10/12*1000</f>
        <v>22383</v>
      </c>
      <c r="C16" s="271">
        <f>C9/C10/12*1000</f>
        <v>32394</v>
      </c>
      <c r="D16" s="271">
        <f>D9/D10/12*1000</f>
        <v>30541</v>
      </c>
      <c r="E16" s="271" t="s">
        <v>447</v>
      </c>
      <c r="F16" s="271" t="s">
        <v>447</v>
      </c>
      <c r="G16" s="263">
        <f>SUM(D16)/C16*100</f>
        <v>94.3</v>
      </c>
      <c r="H16" s="263">
        <f>SUM(D16)/B16*100</f>
        <v>136.4</v>
      </c>
    </row>
  </sheetData>
  <sheetProtection selectLockedCells="1" selectUnlockedCells="1"/>
  <mergeCells count="10">
    <mergeCell ref="G1:H1"/>
    <mergeCell ref="A4:H4"/>
    <mergeCell ref="A5:A7"/>
    <mergeCell ref="B5:B7"/>
    <mergeCell ref="C5:C7"/>
    <mergeCell ref="D5:D7"/>
    <mergeCell ref="E5:F6"/>
    <mergeCell ref="G5:H5"/>
    <mergeCell ref="G6:G7"/>
    <mergeCell ref="H6:H7"/>
  </mergeCells>
  <printOptions/>
  <pageMargins left="0.7875" right="0.39375" top="0.27569444444444446" bottom="0.27569444444444446" header="0.5118055555555555" footer="0.5118055555555555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37" zoomScaleNormal="78" zoomScaleSheetLayoutView="137" zoomScalePageLayoutView="0" workbookViewId="0" topLeftCell="A13">
      <selection activeCell="B5" sqref="B5:D7"/>
    </sheetView>
  </sheetViews>
  <sheetFormatPr defaultColWidth="8.875" defaultRowHeight="12.75"/>
  <cols>
    <col min="1" max="1" width="22.00390625" style="222" customWidth="1"/>
    <col min="2" max="2" width="16.875" style="222" customWidth="1"/>
    <col min="3" max="3" width="18.75390625" style="222" customWidth="1"/>
    <col min="4" max="4" width="17.75390625" style="222" customWidth="1"/>
    <col min="5" max="5" width="15.25390625" style="222" customWidth="1"/>
    <col min="6" max="6" width="15.625" style="222" customWidth="1"/>
    <col min="7" max="16384" width="8.875" style="222" customWidth="1"/>
  </cols>
  <sheetData>
    <row r="1" spans="1:7" ht="18.75">
      <c r="A1" s="221"/>
      <c r="B1" s="221"/>
      <c r="C1" s="221"/>
      <c r="D1" s="221"/>
      <c r="E1" s="433" t="s">
        <v>620</v>
      </c>
      <c r="F1" s="433"/>
      <c r="G1" s="221"/>
    </row>
    <row r="2" spans="1:7" ht="18.75">
      <c r="A2" s="221"/>
      <c r="B2" s="221"/>
      <c r="C2" s="221"/>
      <c r="D2" s="221"/>
      <c r="E2" s="248" t="s">
        <v>545</v>
      </c>
      <c r="F2" s="273"/>
      <c r="G2" s="221"/>
    </row>
    <row r="3" spans="1:7" ht="32.25" customHeight="1">
      <c r="A3" s="246"/>
      <c r="B3" s="246"/>
      <c r="C3" s="274"/>
      <c r="D3" s="274"/>
      <c r="E3" s="246"/>
      <c r="F3" s="246"/>
      <c r="G3" s="246"/>
    </row>
    <row r="4" spans="1:7" ht="46.5" customHeight="1">
      <c r="A4" s="448" t="s">
        <v>621</v>
      </c>
      <c r="B4" s="448"/>
      <c r="C4" s="448"/>
      <c r="D4" s="448"/>
      <c r="E4" s="448"/>
      <c r="F4" s="448"/>
      <c r="G4" s="221"/>
    </row>
    <row r="5" spans="1:7" ht="24" customHeight="1">
      <c r="A5" s="435"/>
      <c r="B5" s="436" t="s">
        <v>602</v>
      </c>
      <c r="C5" s="436" t="s">
        <v>569</v>
      </c>
      <c r="D5" s="436" t="s">
        <v>622</v>
      </c>
      <c r="E5" s="437" t="s">
        <v>605</v>
      </c>
      <c r="F5" s="437"/>
      <c r="G5" s="221"/>
    </row>
    <row r="6" spans="1:7" ht="42" customHeight="1">
      <c r="A6" s="435"/>
      <c r="B6" s="436"/>
      <c r="C6" s="436"/>
      <c r="D6" s="436"/>
      <c r="E6" s="437" t="s">
        <v>606</v>
      </c>
      <c r="F6" s="437" t="s">
        <v>607</v>
      </c>
      <c r="G6" s="221"/>
    </row>
    <row r="7" spans="1:7" ht="157.5" customHeight="1">
      <c r="A7" s="435"/>
      <c r="B7" s="436"/>
      <c r="C7" s="436"/>
      <c r="D7" s="436"/>
      <c r="E7" s="437"/>
      <c r="F7" s="437"/>
      <c r="G7" s="221"/>
    </row>
    <row r="8" spans="1:7" ht="32.25" customHeight="1">
      <c r="A8" s="442" t="s">
        <v>623</v>
      </c>
      <c r="B8" s="442"/>
      <c r="C8" s="442"/>
      <c r="D8" s="442"/>
      <c r="E8" s="442"/>
      <c r="F8" s="442"/>
      <c r="G8" s="221"/>
    </row>
    <row r="9" spans="1:7" ht="90" customHeight="1">
      <c r="A9" s="233" t="s">
        <v>624</v>
      </c>
      <c r="B9" s="271">
        <v>6982</v>
      </c>
      <c r="C9" s="271">
        <v>46250</v>
      </c>
      <c r="D9" s="271">
        <v>0</v>
      </c>
      <c r="E9" s="275"/>
      <c r="F9" s="275"/>
      <c r="G9" s="221"/>
    </row>
    <row r="10" spans="1:7" ht="18.75" customHeight="1">
      <c r="A10" s="443" t="s">
        <v>625</v>
      </c>
      <c r="B10" s="443"/>
      <c r="C10" s="443"/>
      <c r="D10" s="443"/>
      <c r="E10" s="443"/>
      <c r="F10" s="443"/>
      <c r="G10" s="221"/>
    </row>
    <row r="11" spans="1:7" ht="66.75">
      <c r="A11" s="267" t="s">
        <v>626</v>
      </c>
      <c r="B11" s="271">
        <f>B12+B13+B14+B15</f>
        <v>6982</v>
      </c>
      <c r="C11" s="271">
        <f>C12+C13+C14+C15</f>
        <v>46250</v>
      </c>
      <c r="D11" s="271">
        <f>D12+D13+D14+D15</f>
        <v>0</v>
      </c>
      <c r="E11" s="271"/>
      <c r="F11" s="275"/>
      <c r="G11" s="221"/>
    </row>
    <row r="12" spans="1:7" ht="33">
      <c r="A12" s="272" t="s">
        <v>627</v>
      </c>
      <c r="B12" s="262">
        <v>0</v>
      </c>
      <c r="C12" s="262">
        <v>0</v>
      </c>
      <c r="D12" s="262">
        <v>0</v>
      </c>
      <c r="E12" s="262"/>
      <c r="F12" s="227"/>
      <c r="G12" s="221"/>
    </row>
    <row r="13" spans="1:7" ht="18.75">
      <c r="A13" s="272" t="s">
        <v>628</v>
      </c>
      <c r="B13" s="262">
        <v>6982</v>
      </c>
      <c r="C13" s="262">
        <v>46250</v>
      </c>
      <c r="D13" s="262">
        <v>0</v>
      </c>
      <c r="E13" s="262"/>
      <c r="F13" s="227"/>
      <c r="G13" s="221"/>
    </row>
    <row r="14" spans="1:7" ht="18.75">
      <c r="A14" s="272" t="s">
        <v>629</v>
      </c>
      <c r="B14" s="227">
        <v>0</v>
      </c>
      <c r="C14" s="227">
        <v>0</v>
      </c>
      <c r="D14" s="227">
        <v>0</v>
      </c>
      <c r="E14" s="227"/>
      <c r="F14" s="227"/>
      <c r="G14" s="221"/>
    </row>
    <row r="15" spans="1:7" ht="18.75">
      <c r="A15" s="272" t="s">
        <v>630</v>
      </c>
      <c r="B15" s="227">
        <v>0</v>
      </c>
      <c r="C15" s="227">
        <v>0</v>
      </c>
      <c r="D15" s="227">
        <v>0</v>
      </c>
      <c r="E15" s="227"/>
      <c r="F15" s="227"/>
      <c r="G15" s="221"/>
    </row>
    <row r="16" spans="1:7" ht="18.75">
      <c r="A16" s="276"/>
      <c r="B16" s="246"/>
      <c r="C16" s="246"/>
      <c r="D16" s="246"/>
      <c r="E16" s="246"/>
      <c r="F16" s="246"/>
      <c r="G16" s="221"/>
    </row>
    <row r="17" spans="1:7" ht="18.75">
      <c r="A17" s="276"/>
      <c r="B17" s="246"/>
      <c r="C17" s="246"/>
      <c r="D17" s="246"/>
      <c r="E17" s="246"/>
      <c r="F17" s="246"/>
      <c r="G17" s="221"/>
    </row>
    <row r="18" spans="1:7" ht="18.75">
      <c r="A18" s="276"/>
      <c r="B18" s="246"/>
      <c r="C18" s="246"/>
      <c r="D18" s="246"/>
      <c r="E18" s="246"/>
      <c r="F18" s="246"/>
      <c r="G18" s="221"/>
    </row>
    <row r="19" spans="1:7" ht="18.75">
      <c r="A19" s="276"/>
      <c r="B19" s="246"/>
      <c r="C19" s="246"/>
      <c r="D19" s="246"/>
      <c r="E19" s="246"/>
      <c r="F19" s="246"/>
      <c r="G19" s="221"/>
    </row>
    <row r="20" spans="1:7" ht="18.75" customHeight="1">
      <c r="A20" s="444" t="s">
        <v>631</v>
      </c>
      <c r="B20" s="444"/>
      <c r="C20" s="444"/>
      <c r="D20" s="277" t="s">
        <v>632</v>
      </c>
      <c r="E20" s="445" t="s">
        <v>196</v>
      </c>
      <c r="F20" s="445"/>
      <c r="G20" s="221"/>
    </row>
    <row r="21" spans="1:6" s="279" customFormat="1" ht="16.5" customHeight="1">
      <c r="A21" s="446" t="s">
        <v>633</v>
      </c>
      <c r="B21" s="446"/>
      <c r="C21" s="446"/>
      <c r="D21" s="278" t="s">
        <v>198</v>
      </c>
      <c r="E21" s="447" t="s">
        <v>270</v>
      </c>
      <c r="F21" s="447"/>
    </row>
  </sheetData>
  <sheetProtection selectLockedCells="1" selectUnlockedCells="1"/>
  <mergeCells count="15">
    <mergeCell ref="E1:F1"/>
    <mergeCell ref="A4:F4"/>
    <mergeCell ref="A5:A7"/>
    <mergeCell ref="B5:B7"/>
    <mergeCell ref="C5:C7"/>
    <mergeCell ref="D5:D7"/>
    <mergeCell ref="E5:F5"/>
    <mergeCell ref="E6:E7"/>
    <mergeCell ref="F6:F7"/>
    <mergeCell ref="A8:F8"/>
    <mergeCell ref="A10:F10"/>
    <mergeCell ref="A20:C20"/>
    <mergeCell ref="E20:F20"/>
    <mergeCell ref="A21:C21"/>
    <mergeCell ref="E21:F21"/>
  </mergeCells>
  <printOptions/>
  <pageMargins left="0.7875" right="0.3541666666666667" top="0.33125" bottom="0.27569444444444446" header="0.5118055555555555" footer="0.5118055555555555"/>
  <pageSetup horizontalDpi="300" verticalDpi="300" orientation="portrait" paperSize="9" scale="86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="110" zoomScaleNormal="78" zoomScaleSheetLayoutView="110" zoomScalePageLayoutView="0" workbookViewId="0" topLeftCell="A103">
      <selection activeCell="H62" sqref="H62"/>
    </sheetView>
  </sheetViews>
  <sheetFormatPr defaultColWidth="8.375" defaultRowHeight="14.25" customHeight="1"/>
  <cols>
    <col min="1" max="1" width="44.875" style="281" customWidth="1"/>
    <col min="2" max="2" width="7.625" style="281" customWidth="1"/>
    <col min="3" max="3" width="12.75390625" style="281" customWidth="1"/>
    <col min="4" max="4" width="11.625" style="281" customWidth="1"/>
    <col min="5" max="5" width="12.00390625" style="283" customWidth="1"/>
    <col min="6" max="16384" width="8.375" style="281" customWidth="1"/>
  </cols>
  <sheetData>
    <row r="1" spans="1:5" ht="16.5" customHeight="1">
      <c r="A1" s="449" t="s">
        <v>634</v>
      </c>
      <c r="B1" s="449"/>
      <c r="C1" s="449"/>
      <c r="D1" s="449"/>
      <c r="E1" s="449"/>
    </row>
    <row r="2" spans="1:4" ht="16.5" customHeight="1">
      <c r="A2" s="280"/>
      <c r="B2" s="282"/>
      <c r="C2" s="282"/>
      <c r="D2" s="282"/>
    </row>
    <row r="3" spans="1:5" ht="99.75" customHeight="1">
      <c r="A3" s="284" t="s">
        <v>568</v>
      </c>
      <c r="B3" s="285" t="s">
        <v>295</v>
      </c>
      <c r="C3" s="285" t="s">
        <v>635</v>
      </c>
      <c r="D3" s="285" t="s">
        <v>636</v>
      </c>
      <c r="E3" s="286" t="s">
        <v>637</v>
      </c>
    </row>
    <row r="4" spans="1:5" ht="16.5" customHeight="1">
      <c r="A4" s="450" t="s">
        <v>638</v>
      </c>
      <c r="B4" s="450"/>
      <c r="C4" s="450"/>
      <c r="D4" s="450"/>
      <c r="E4" s="450"/>
    </row>
    <row r="5" spans="1:5" ht="14.25" customHeight="1">
      <c r="A5" s="288" t="s">
        <v>639</v>
      </c>
      <c r="B5" s="288"/>
      <c r="C5" s="289"/>
      <c r="D5" s="289"/>
      <c r="E5" s="290"/>
    </row>
    <row r="6" spans="1:5" ht="14.25" customHeight="1">
      <c r="A6" s="291" t="s">
        <v>640</v>
      </c>
      <c r="B6" s="287">
        <v>1018</v>
      </c>
      <c r="C6" s="292">
        <f>C7+C8+C9+C10+C11+C12+C13</f>
        <v>18940</v>
      </c>
      <c r="D6" s="292">
        <f>D7+D8+D9+D10+D11+D12+D13</f>
        <v>21820</v>
      </c>
      <c r="E6" s="293">
        <f>E7+E8+E9+E10+E11+E12+E13</f>
        <v>23756</v>
      </c>
    </row>
    <row r="7" spans="1:5" ht="14.25" customHeight="1">
      <c r="A7" s="289" t="s">
        <v>111</v>
      </c>
      <c r="B7" s="284"/>
      <c r="C7" s="294">
        <v>7361</v>
      </c>
      <c r="D7" s="294">
        <v>8900</v>
      </c>
      <c r="E7" s="290">
        <v>9859</v>
      </c>
    </row>
    <row r="8" spans="1:5" ht="14.25" customHeight="1">
      <c r="A8" s="289" t="s">
        <v>641</v>
      </c>
      <c r="B8" s="284"/>
      <c r="C8" s="294">
        <v>1808</v>
      </c>
      <c r="D8" s="294">
        <v>2100</v>
      </c>
      <c r="E8" s="290">
        <v>1795</v>
      </c>
    </row>
    <row r="9" spans="1:5" ht="14.25" customHeight="1">
      <c r="A9" s="289" t="s">
        <v>642</v>
      </c>
      <c r="B9" s="284"/>
      <c r="C9" s="294">
        <v>971</v>
      </c>
      <c r="D9" s="294">
        <v>1950</v>
      </c>
      <c r="E9" s="290">
        <v>906</v>
      </c>
    </row>
    <row r="10" spans="1:5" ht="15.75" customHeight="1">
      <c r="A10" s="289" t="s">
        <v>327</v>
      </c>
      <c r="B10" s="284"/>
      <c r="C10" s="294">
        <v>268</v>
      </c>
      <c r="D10" s="294">
        <v>360</v>
      </c>
      <c r="E10" s="290">
        <v>282</v>
      </c>
    </row>
    <row r="11" spans="1:5" ht="47.25" customHeight="1">
      <c r="A11" s="295" t="s">
        <v>643</v>
      </c>
      <c r="B11" s="284"/>
      <c r="C11" s="294">
        <v>6480</v>
      </c>
      <c r="D11" s="296">
        <v>6990</v>
      </c>
      <c r="E11" s="297">
        <v>7875</v>
      </c>
    </row>
    <row r="12" spans="1:5" ht="14.25" customHeight="1">
      <c r="A12" s="289" t="s">
        <v>644</v>
      </c>
      <c r="B12" s="284"/>
      <c r="C12" s="294">
        <v>824</v>
      </c>
      <c r="D12" s="296">
        <v>800</v>
      </c>
      <c r="E12" s="297">
        <v>1165</v>
      </c>
    </row>
    <row r="13" spans="1:5" ht="14.25" customHeight="1">
      <c r="A13" s="289" t="s">
        <v>645</v>
      </c>
      <c r="B13" s="284"/>
      <c r="C13" s="294">
        <v>1228</v>
      </c>
      <c r="D13" s="296">
        <v>720</v>
      </c>
      <c r="E13" s="297">
        <v>1874</v>
      </c>
    </row>
    <row r="14" spans="1:5" ht="14.25" customHeight="1">
      <c r="A14" s="298" t="s">
        <v>646</v>
      </c>
      <c r="B14" s="287">
        <v>1051</v>
      </c>
      <c r="C14" s="292">
        <f>SUM(C15:C21)</f>
        <v>516</v>
      </c>
      <c r="D14" s="292">
        <f>SUM(D15:D21)</f>
        <v>270</v>
      </c>
      <c r="E14" s="292">
        <f>SUM(E15:E21)</f>
        <v>202</v>
      </c>
    </row>
    <row r="15" spans="1:5" ht="14.25" customHeight="1">
      <c r="A15" s="299" t="s">
        <v>647</v>
      </c>
      <c r="B15" s="287"/>
      <c r="C15" s="294">
        <v>20</v>
      </c>
      <c r="D15" s="294">
        <v>25</v>
      </c>
      <c r="E15" s="290">
        <v>1</v>
      </c>
    </row>
    <row r="16" spans="1:5" ht="14.25" customHeight="1">
      <c r="A16" s="299" t="s">
        <v>648</v>
      </c>
      <c r="B16" s="287"/>
      <c r="C16" s="294">
        <v>75</v>
      </c>
      <c r="D16" s="294">
        <v>50</v>
      </c>
      <c r="E16" s="290">
        <v>56</v>
      </c>
    </row>
    <row r="17" spans="1:5" ht="14.25" customHeight="1">
      <c r="A17" s="289" t="s">
        <v>649</v>
      </c>
      <c r="B17" s="284"/>
      <c r="C17" s="294">
        <v>91</v>
      </c>
      <c r="D17" s="294">
        <v>135</v>
      </c>
      <c r="E17" s="290">
        <v>101</v>
      </c>
    </row>
    <row r="18" spans="1:5" ht="14.25" customHeight="1">
      <c r="A18" s="289" t="s">
        <v>650</v>
      </c>
      <c r="B18" s="284"/>
      <c r="C18" s="294">
        <v>22</v>
      </c>
      <c r="D18" s="294">
        <v>25</v>
      </c>
      <c r="E18" s="290">
        <v>22</v>
      </c>
    </row>
    <row r="19" spans="1:5" ht="14.25" customHeight="1">
      <c r="A19" s="289" t="s">
        <v>651</v>
      </c>
      <c r="B19" s="284"/>
      <c r="C19" s="294">
        <v>12</v>
      </c>
      <c r="D19" s="294">
        <v>10</v>
      </c>
      <c r="E19" s="290">
        <v>8</v>
      </c>
    </row>
    <row r="20" spans="1:5" ht="14.25" customHeight="1">
      <c r="A20" s="289" t="s">
        <v>652</v>
      </c>
      <c r="B20" s="284"/>
      <c r="C20" s="294">
        <v>166</v>
      </c>
      <c r="D20" s="294"/>
      <c r="E20" s="290"/>
    </row>
    <row r="21" spans="1:5" ht="14.25" customHeight="1">
      <c r="A21" s="289" t="s">
        <v>645</v>
      </c>
      <c r="B21" s="284"/>
      <c r="C21" s="294">
        <v>130</v>
      </c>
      <c r="D21" s="294">
        <v>25</v>
      </c>
      <c r="E21" s="290">
        <v>14</v>
      </c>
    </row>
    <row r="22" spans="1:5" ht="14.25" customHeight="1">
      <c r="A22" s="288" t="s">
        <v>653</v>
      </c>
      <c r="B22" s="287">
        <v>1073</v>
      </c>
      <c r="C22" s="292">
        <f>C23+C30+C31+C32+C33</f>
        <v>43626</v>
      </c>
      <c r="D22" s="292">
        <f>D23+D30+D31+D32+D33</f>
        <v>29170</v>
      </c>
      <c r="E22" s="293">
        <f>E23+E30+E31+E32+E33</f>
        <v>28678</v>
      </c>
    </row>
    <row r="23" spans="1:5" ht="14.25" customHeight="1">
      <c r="A23" s="288" t="s">
        <v>654</v>
      </c>
      <c r="B23" s="287"/>
      <c r="C23" s="292">
        <f>C24+C25+C26+C27+C28+C29</f>
        <v>43641</v>
      </c>
      <c r="D23" s="292">
        <f>D24+D25+D26+D27+D28+D29</f>
        <v>28470</v>
      </c>
      <c r="E23" s="293">
        <f>E24+E25+E26+E27+E28+E29</f>
        <v>28499</v>
      </c>
    </row>
    <row r="24" spans="1:5" ht="14.25" customHeight="1">
      <c r="A24" s="300" t="s">
        <v>655</v>
      </c>
      <c r="B24" s="284"/>
      <c r="C24" s="294">
        <v>35800</v>
      </c>
      <c r="D24" s="294">
        <v>25100</v>
      </c>
      <c r="E24" s="290">
        <v>19398</v>
      </c>
    </row>
    <row r="25" spans="1:5" ht="28.5" customHeight="1">
      <c r="A25" s="301" t="s">
        <v>656</v>
      </c>
      <c r="B25" s="284"/>
      <c r="C25" s="294">
        <v>1691</v>
      </c>
      <c r="D25" s="294">
        <v>150</v>
      </c>
      <c r="E25" s="297"/>
    </row>
    <row r="26" spans="1:5" ht="14.25" customHeight="1">
      <c r="A26" s="300" t="s">
        <v>657</v>
      </c>
      <c r="B26" s="287"/>
      <c r="C26" s="294">
        <v>150</v>
      </c>
      <c r="D26" s="294">
        <v>220</v>
      </c>
      <c r="E26" s="297">
        <v>149</v>
      </c>
    </row>
    <row r="27" spans="1:5" ht="14.25" customHeight="1">
      <c r="A27" s="300" t="s">
        <v>658</v>
      </c>
      <c r="B27" s="284"/>
      <c r="C27" s="294">
        <v>3000</v>
      </c>
      <c r="D27" s="294">
        <v>3000</v>
      </c>
      <c r="E27" s="297"/>
    </row>
    <row r="28" spans="1:5" ht="14.25" customHeight="1">
      <c r="A28" s="300" t="s">
        <v>659</v>
      </c>
      <c r="B28" s="284"/>
      <c r="C28" s="294">
        <v>1000</v>
      </c>
      <c r="D28" s="294"/>
      <c r="E28" s="297"/>
    </row>
    <row r="29" spans="1:5" ht="14.25" customHeight="1">
      <c r="A29" s="300" t="s">
        <v>735</v>
      </c>
      <c r="B29" s="284"/>
      <c r="C29" s="294">
        <v>2000</v>
      </c>
      <c r="D29" s="294"/>
      <c r="E29" s="290">
        <v>8952</v>
      </c>
    </row>
    <row r="30" spans="1:5" ht="14.25" customHeight="1">
      <c r="A30" s="289" t="s">
        <v>660</v>
      </c>
      <c r="B30" s="284"/>
      <c r="C30" s="294">
        <v>2</v>
      </c>
      <c r="D30" s="294">
        <v>40</v>
      </c>
      <c r="E30" s="290"/>
    </row>
    <row r="31" spans="1:5" ht="14.25" customHeight="1">
      <c r="A31" s="289" t="s">
        <v>661</v>
      </c>
      <c r="B31" s="284"/>
      <c r="C31" s="294">
        <v>44</v>
      </c>
      <c r="D31" s="294">
        <v>62</v>
      </c>
      <c r="E31" s="290">
        <v>54</v>
      </c>
    </row>
    <row r="32" spans="1:5" ht="14.25" customHeight="1">
      <c r="A32" s="289" t="s">
        <v>662</v>
      </c>
      <c r="B32" s="284"/>
      <c r="C32" s="294">
        <v>56</v>
      </c>
      <c r="D32" s="294">
        <v>55</v>
      </c>
      <c r="E32" s="290">
        <v>27</v>
      </c>
    </row>
    <row r="33" spans="1:5" ht="14.25" customHeight="1">
      <c r="A33" s="289" t="s">
        <v>663</v>
      </c>
      <c r="B33" s="284"/>
      <c r="C33" s="294">
        <v>-117</v>
      </c>
      <c r="D33" s="294">
        <v>543</v>
      </c>
      <c r="E33" s="290">
        <v>98</v>
      </c>
    </row>
    <row r="34" spans="1:5" ht="14.25" customHeight="1">
      <c r="A34" s="288" t="s">
        <v>664</v>
      </c>
      <c r="B34" s="287">
        <v>1067</v>
      </c>
      <c r="C34" s="292">
        <f>C35+C36+C37+C38+C39</f>
        <v>2571</v>
      </c>
      <c r="D34" s="292">
        <f>D35+D36+D37+D38+D39</f>
        <v>4500</v>
      </c>
      <c r="E34" s="292">
        <f>E35+E36+E37+E38+E39</f>
        <v>3406</v>
      </c>
    </row>
    <row r="35" spans="1:5" ht="14.25" customHeight="1">
      <c r="A35" s="289" t="s">
        <v>665</v>
      </c>
      <c r="B35" s="284"/>
      <c r="C35" s="294">
        <v>2140</v>
      </c>
      <c r="D35" s="294">
        <v>4040</v>
      </c>
      <c r="E35" s="290">
        <v>2837</v>
      </c>
    </row>
    <row r="36" spans="1:5" ht="15" customHeight="1">
      <c r="A36" s="289" t="s">
        <v>666</v>
      </c>
      <c r="B36" s="284"/>
      <c r="C36" s="294">
        <v>102</v>
      </c>
      <c r="D36" s="294">
        <v>200</v>
      </c>
      <c r="E36" s="290">
        <v>174</v>
      </c>
    </row>
    <row r="37" spans="1:5" ht="13.5" customHeight="1">
      <c r="A37" s="289" t="s">
        <v>667</v>
      </c>
      <c r="B37" s="284"/>
      <c r="C37" s="294">
        <v>24</v>
      </c>
      <c r="D37" s="294">
        <v>20</v>
      </c>
      <c r="E37" s="290">
        <v>40</v>
      </c>
    </row>
    <row r="38" spans="1:5" ht="13.5" customHeight="1">
      <c r="A38" s="289" t="s">
        <v>668</v>
      </c>
      <c r="B38" s="284"/>
      <c r="C38" s="294">
        <v>95</v>
      </c>
      <c r="D38" s="294">
        <v>110</v>
      </c>
      <c r="E38" s="290">
        <v>160</v>
      </c>
    </row>
    <row r="39" spans="1:5" ht="13.5" customHeight="1">
      <c r="A39" s="289" t="s">
        <v>669</v>
      </c>
      <c r="B39" s="284"/>
      <c r="C39" s="294">
        <v>210</v>
      </c>
      <c r="D39" s="294">
        <v>130</v>
      </c>
      <c r="E39" s="290">
        <v>195</v>
      </c>
    </row>
    <row r="40" spans="1:5" ht="14.25" customHeight="1">
      <c r="A40" s="288" t="s">
        <v>670</v>
      </c>
      <c r="B40" s="287">
        <v>1086</v>
      </c>
      <c r="C40" s="292">
        <f>C41+C42+C43+C44+C46+C47+C48</f>
        <v>11636</v>
      </c>
      <c r="D40" s="292">
        <f>D41+D42+D43+D44+D46+D47+D48</f>
        <v>12042</v>
      </c>
      <c r="E40" s="293">
        <f>E41+E42+E43+E44+E46+E47+E48</f>
        <v>11290</v>
      </c>
    </row>
    <row r="41" spans="1:5" ht="46.5" customHeight="1">
      <c r="A41" s="295" t="s">
        <v>671</v>
      </c>
      <c r="B41" s="284"/>
      <c r="C41" s="294">
        <v>0</v>
      </c>
      <c r="D41" s="294">
        <v>70</v>
      </c>
      <c r="E41" s="290"/>
    </row>
    <row r="42" spans="1:5" ht="14.25" customHeight="1">
      <c r="A42" s="289" t="s">
        <v>672</v>
      </c>
      <c r="B42" s="284"/>
      <c r="C42" s="294">
        <v>95</v>
      </c>
      <c r="D42" s="294">
        <v>400</v>
      </c>
      <c r="E42" s="290">
        <v>153</v>
      </c>
    </row>
    <row r="43" spans="1:5" ht="14.25" customHeight="1">
      <c r="A43" s="289" t="s">
        <v>673</v>
      </c>
      <c r="B43" s="284"/>
      <c r="C43" s="294">
        <v>447</v>
      </c>
      <c r="D43" s="294">
        <v>600</v>
      </c>
      <c r="E43" s="290">
        <v>557</v>
      </c>
    </row>
    <row r="44" spans="1:5" ht="14.25" customHeight="1">
      <c r="A44" s="289" t="s">
        <v>674</v>
      </c>
      <c r="B44" s="284"/>
      <c r="C44" s="294">
        <v>1330</v>
      </c>
      <c r="D44" s="294">
        <v>3000</v>
      </c>
      <c r="E44" s="290">
        <v>2035</v>
      </c>
    </row>
    <row r="45" spans="1:5" ht="14.25" customHeight="1">
      <c r="A45" s="300" t="s">
        <v>675</v>
      </c>
      <c r="B45" s="284"/>
      <c r="C45" s="294">
        <v>562</v>
      </c>
      <c r="D45" s="294">
        <v>800</v>
      </c>
      <c r="E45" s="290">
        <v>1374</v>
      </c>
    </row>
    <row r="46" spans="1:5" ht="14.25" customHeight="1">
      <c r="A46" s="302" t="s">
        <v>658</v>
      </c>
      <c r="B46" s="284"/>
      <c r="C46" s="294">
        <v>2500</v>
      </c>
      <c r="D46" s="294">
        <v>3000</v>
      </c>
      <c r="E46" s="290">
        <v>212</v>
      </c>
    </row>
    <row r="47" spans="1:5" ht="14.25" customHeight="1">
      <c r="A47" s="289" t="s">
        <v>676</v>
      </c>
      <c r="B47" s="284"/>
      <c r="C47" s="294">
        <v>6411</v>
      </c>
      <c r="D47" s="294">
        <v>4972</v>
      </c>
      <c r="E47" s="290">
        <v>8170</v>
      </c>
    </row>
    <row r="48" spans="1:5" ht="14.25" customHeight="1">
      <c r="A48" s="289" t="s">
        <v>645</v>
      </c>
      <c r="B48" s="284"/>
      <c r="C48" s="294">
        <v>853</v>
      </c>
      <c r="D48" s="294"/>
      <c r="E48" s="290">
        <v>163</v>
      </c>
    </row>
    <row r="49" spans="1:5" ht="14.25" customHeight="1">
      <c r="A49" s="288" t="s">
        <v>677</v>
      </c>
      <c r="B49" s="287">
        <v>1130</v>
      </c>
      <c r="C49" s="292">
        <v>1</v>
      </c>
      <c r="D49" s="292">
        <f>D50</f>
        <v>2</v>
      </c>
      <c r="E49" s="292">
        <f>E50</f>
        <v>4</v>
      </c>
    </row>
    <row r="50" spans="1:5" ht="14.25" customHeight="1">
      <c r="A50" s="289" t="s">
        <v>678</v>
      </c>
      <c r="B50" s="284"/>
      <c r="C50" s="294">
        <v>1</v>
      </c>
      <c r="D50" s="294">
        <v>2</v>
      </c>
      <c r="E50" s="290">
        <v>4</v>
      </c>
    </row>
    <row r="51" spans="1:5" ht="14.25" customHeight="1">
      <c r="A51" s="288" t="s">
        <v>679</v>
      </c>
      <c r="B51" s="287">
        <v>1140</v>
      </c>
      <c r="C51" s="292">
        <f>C52</f>
        <v>125</v>
      </c>
      <c r="D51" s="292">
        <f>D52</f>
        <v>200</v>
      </c>
      <c r="E51" s="292">
        <f>E52</f>
        <v>64</v>
      </c>
    </row>
    <row r="52" spans="1:5" ht="14.25" customHeight="1">
      <c r="A52" s="289" t="s">
        <v>678</v>
      </c>
      <c r="B52" s="284"/>
      <c r="C52" s="294">
        <v>125</v>
      </c>
      <c r="D52" s="294">
        <v>200</v>
      </c>
      <c r="E52" s="290">
        <v>64</v>
      </c>
    </row>
    <row r="53" spans="1:5" ht="14.25" customHeight="1">
      <c r="A53" s="288" t="s">
        <v>680</v>
      </c>
      <c r="B53" s="287">
        <v>1152</v>
      </c>
      <c r="C53" s="292">
        <f>C54</f>
        <v>6449</v>
      </c>
      <c r="D53" s="292">
        <f>D54+D55</f>
        <v>6600</v>
      </c>
      <c r="E53" s="292">
        <f>E54+E55</f>
        <v>3937</v>
      </c>
    </row>
    <row r="54" spans="1:5" ht="14.25" customHeight="1">
      <c r="A54" s="289" t="s">
        <v>736</v>
      </c>
      <c r="B54" s="284"/>
      <c r="C54" s="294">
        <v>6449</v>
      </c>
      <c r="D54" s="294">
        <v>6400</v>
      </c>
      <c r="E54" s="290">
        <v>3937</v>
      </c>
    </row>
    <row r="55" spans="1:5" ht="14.25" customHeight="1">
      <c r="A55" s="289" t="s">
        <v>681</v>
      </c>
      <c r="B55" s="284"/>
      <c r="C55" s="294">
        <v>0</v>
      </c>
      <c r="D55" s="294">
        <v>200</v>
      </c>
      <c r="E55" s="290"/>
    </row>
    <row r="56" spans="1:5" ht="14.25" customHeight="1">
      <c r="A56" s="288" t="s">
        <v>682</v>
      </c>
      <c r="B56" s="287">
        <v>1162</v>
      </c>
      <c r="C56" s="292">
        <f>C57</f>
        <v>248</v>
      </c>
      <c r="D56" s="292">
        <f>D57</f>
        <v>500</v>
      </c>
      <c r="E56" s="292">
        <f>E57</f>
        <v>38</v>
      </c>
    </row>
    <row r="57" spans="1:5" ht="28.5" customHeight="1">
      <c r="A57" s="295" t="s">
        <v>683</v>
      </c>
      <c r="B57" s="295"/>
      <c r="C57" s="294">
        <v>248</v>
      </c>
      <c r="D57" s="294">
        <v>500</v>
      </c>
      <c r="E57" s="290">
        <v>38</v>
      </c>
    </row>
    <row r="58" spans="1:5" ht="14.25" customHeight="1">
      <c r="A58" s="452" t="s">
        <v>717</v>
      </c>
      <c r="B58" s="453"/>
      <c r="C58" s="453"/>
      <c r="D58" s="453"/>
      <c r="E58" s="454"/>
    </row>
    <row r="59" spans="1:5" ht="20.25" customHeight="1">
      <c r="A59" s="295" t="s">
        <v>718</v>
      </c>
      <c r="B59" s="318">
        <v>2142</v>
      </c>
      <c r="C59" s="292">
        <f>SUM(C60:C63)</f>
        <v>6235</v>
      </c>
      <c r="D59" s="292">
        <f>SUM(D60:D63)</f>
        <v>4972</v>
      </c>
      <c r="E59" s="319">
        <f>SUM(E60:E63)</f>
        <v>1385</v>
      </c>
    </row>
    <row r="60" spans="1:5" ht="14.25" customHeight="1">
      <c r="A60" s="295" t="s">
        <v>719</v>
      </c>
      <c r="B60" s="295"/>
      <c r="C60" s="294">
        <v>3803</v>
      </c>
      <c r="D60" s="294">
        <v>1500</v>
      </c>
      <c r="E60" s="290">
        <v>724</v>
      </c>
    </row>
    <row r="61" spans="1:5" ht="15" customHeight="1">
      <c r="A61" s="295" t="s">
        <v>642</v>
      </c>
      <c r="B61" s="295"/>
      <c r="C61" s="294">
        <v>82</v>
      </c>
      <c r="D61" s="294">
        <v>50</v>
      </c>
      <c r="E61" s="290">
        <v>11</v>
      </c>
    </row>
    <row r="62" spans="1:5" ht="15" customHeight="1">
      <c r="A62" s="295" t="s">
        <v>720</v>
      </c>
      <c r="B62" s="295"/>
      <c r="C62" s="294">
        <v>721</v>
      </c>
      <c r="D62" s="294">
        <v>500</v>
      </c>
      <c r="E62" s="290">
        <v>650</v>
      </c>
    </row>
    <row r="63" spans="1:5" ht="17.25" customHeight="1">
      <c r="A63" s="295" t="s">
        <v>111</v>
      </c>
      <c r="B63" s="295"/>
      <c r="C63" s="294">
        <v>1629</v>
      </c>
      <c r="D63" s="294">
        <v>2922</v>
      </c>
      <c r="E63" s="290">
        <v>0</v>
      </c>
    </row>
    <row r="64" spans="1:5" ht="17.25" customHeight="1">
      <c r="A64" s="295" t="s">
        <v>101</v>
      </c>
      <c r="B64" s="318">
        <v>2060</v>
      </c>
      <c r="C64" s="294">
        <v>0</v>
      </c>
      <c r="D64" s="294">
        <v>0</v>
      </c>
      <c r="E64" s="290">
        <v>133</v>
      </c>
    </row>
    <row r="65" spans="1:5" s="303" customFormat="1" ht="15.75" customHeight="1">
      <c r="A65" s="450" t="s">
        <v>684</v>
      </c>
      <c r="B65" s="450"/>
      <c r="C65" s="450"/>
      <c r="D65" s="450"/>
      <c r="E65" s="290"/>
    </row>
    <row r="66" spans="1:5" s="303" customFormat="1" ht="15.75" customHeight="1" hidden="1">
      <c r="A66" s="306" t="s">
        <v>685</v>
      </c>
      <c r="B66" s="306">
        <v>3070</v>
      </c>
      <c r="C66" s="307">
        <f>C67+C68+C69</f>
        <v>296</v>
      </c>
      <c r="D66" s="307">
        <f>D67+D68+D69</f>
        <v>700</v>
      </c>
      <c r="E66" s="306">
        <v>4632</v>
      </c>
    </row>
    <row r="67" spans="1:5" s="303" customFormat="1" ht="15.75" customHeight="1" hidden="1">
      <c r="A67" s="308" t="s">
        <v>686</v>
      </c>
      <c r="B67" s="306"/>
      <c r="C67" s="309">
        <v>231</v>
      </c>
      <c r="D67" s="309">
        <v>630</v>
      </c>
      <c r="E67" s="305"/>
    </row>
    <row r="68" spans="1:5" s="303" customFormat="1" ht="15.75" customHeight="1" hidden="1">
      <c r="A68" s="308" t="s">
        <v>687</v>
      </c>
      <c r="B68" s="306"/>
      <c r="C68" s="309">
        <v>61</v>
      </c>
      <c r="D68" s="309">
        <v>60</v>
      </c>
      <c r="E68" s="305"/>
    </row>
    <row r="69" spans="1:5" s="303" customFormat="1" ht="15.75" customHeight="1" hidden="1">
      <c r="A69" s="308" t="s">
        <v>681</v>
      </c>
      <c r="B69" s="306"/>
      <c r="C69" s="309">
        <v>4</v>
      </c>
      <c r="D69" s="309">
        <v>10</v>
      </c>
      <c r="E69" s="305"/>
    </row>
    <row r="70" spans="1:5" s="303" customFormat="1" ht="15.75" customHeight="1">
      <c r="A70" s="310" t="s">
        <v>685</v>
      </c>
      <c r="B70" s="310">
        <v>3070</v>
      </c>
      <c r="C70" s="320">
        <v>573</v>
      </c>
      <c r="D70" s="320">
        <v>700</v>
      </c>
      <c r="E70" s="310">
        <v>395</v>
      </c>
    </row>
    <row r="71" spans="1:5" s="303" customFormat="1" ht="15.75" customHeight="1">
      <c r="A71" s="321" t="s">
        <v>724</v>
      </c>
      <c r="B71" s="322"/>
      <c r="C71" s="323">
        <v>53</v>
      </c>
      <c r="D71" s="323">
        <v>100</v>
      </c>
      <c r="E71" s="323">
        <v>65</v>
      </c>
    </row>
    <row r="72" spans="1:5" s="303" customFormat="1" ht="15.75" customHeight="1">
      <c r="A72" s="321" t="s">
        <v>691</v>
      </c>
      <c r="B72" s="322"/>
      <c r="C72" s="323">
        <v>262</v>
      </c>
      <c r="D72" s="323">
        <v>300</v>
      </c>
      <c r="E72" s="323">
        <v>305</v>
      </c>
    </row>
    <row r="73" spans="1:5" s="303" customFormat="1" ht="15.75" customHeight="1">
      <c r="A73" s="321" t="s">
        <v>725</v>
      </c>
      <c r="B73" s="322"/>
      <c r="C73" s="323">
        <v>1</v>
      </c>
      <c r="D73" s="323">
        <v>2</v>
      </c>
      <c r="E73" s="323">
        <v>4</v>
      </c>
    </row>
    <row r="74" spans="1:5" s="303" customFormat="1" ht="15.75" customHeight="1">
      <c r="A74" s="321" t="s">
        <v>726</v>
      </c>
      <c r="B74" s="322"/>
      <c r="C74" s="323">
        <v>257</v>
      </c>
      <c r="D74" s="323">
        <v>298</v>
      </c>
      <c r="E74" s="323">
        <v>21</v>
      </c>
    </row>
    <row r="75" spans="1:5" s="303" customFormat="1" ht="15.75" customHeight="1">
      <c r="A75" s="288" t="s">
        <v>688</v>
      </c>
      <c r="B75" s="288">
        <v>3170</v>
      </c>
      <c r="C75" s="324">
        <f>SUM(C76:C80)</f>
        <v>2266</v>
      </c>
      <c r="D75" s="324">
        <f>SUM(D76:D80)</f>
        <v>4972</v>
      </c>
      <c r="E75" s="324">
        <v>3246</v>
      </c>
    </row>
    <row r="76" spans="1:5" s="303" customFormat="1" ht="15.75" customHeight="1">
      <c r="A76" s="289" t="s">
        <v>689</v>
      </c>
      <c r="B76" s="288"/>
      <c r="C76" s="325">
        <v>644</v>
      </c>
      <c r="D76" s="325">
        <v>1125</v>
      </c>
      <c r="E76" s="290">
        <v>805</v>
      </c>
    </row>
    <row r="77" spans="1:5" s="303" customFormat="1" ht="15.75" customHeight="1">
      <c r="A77" s="289" t="s">
        <v>690</v>
      </c>
      <c r="B77" s="288"/>
      <c r="C77" s="325">
        <v>459</v>
      </c>
      <c r="D77" s="325">
        <v>850</v>
      </c>
      <c r="E77" s="290">
        <v>784</v>
      </c>
    </row>
    <row r="78" spans="1:5" s="303" customFormat="1" ht="15.75" customHeight="1">
      <c r="A78" s="289" t="s">
        <v>691</v>
      </c>
      <c r="B78" s="288"/>
      <c r="C78" s="325">
        <v>273</v>
      </c>
      <c r="D78" s="325">
        <v>2450</v>
      </c>
      <c r="E78" s="290">
        <v>422</v>
      </c>
    </row>
    <row r="79" spans="1:5" s="303" customFormat="1" ht="15.75" customHeight="1">
      <c r="A79" s="289" t="s">
        <v>692</v>
      </c>
      <c r="B79" s="288"/>
      <c r="C79" s="325">
        <v>333</v>
      </c>
      <c r="D79" s="325">
        <v>410</v>
      </c>
      <c r="E79" s="290">
        <v>375</v>
      </c>
    </row>
    <row r="80" spans="1:5" s="303" customFormat="1" ht="15.75" customHeight="1">
      <c r="A80" s="311" t="s">
        <v>645</v>
      </c>
      <c r="B80" s="310"/>
      <c r="C80" s="326">
        <v>557</v>
      </c>
      <c r="D80" s="326">
        <v>137</v>
      </c>
      <c r="E80" s="327">
        <v>860</v>
      </c>
    </row>
    <row r="81" spans="1:5" s="303" customFormat="1" ht="15.75" customHeight="1">
      <c r="A81" s="322" t="s">
        <v>710</v>
      </c>
      <c r="B81" s="322">
        <v>3240</v>
      </c>
      <c r="C81" s="328">
        <v>18847</v>
      </c>
      <c r="D81" s="328">
        <f>D82</f>
        <v>17273</v>
      </c>
      <c r="E81" s="328">
        <f>E82</f>
        <v>18376</v>
      </c>
    </row>
    <row r="82" spans="1:5" s="303" customFormat="1" ht="34.5" customHeight="1">
      <c r="A82" s="329" t="s">
        <v>711</v>
      </c>
      <c r="B82" s="322"/>
      <c r="C82" s="323">
        <v>18519</v>
      </c>
      <c r="D82" s="323">
        <v>17273</v>
      </c>
      <c r="E82" s="323">
        <v>18376</v>
      </c>
    </row>
    <row r="83" spans="1:5" s="303" customFormat="1" ht="54" customHeight="1">
      <c r="A83" s="330" t="s">
        <v>712</v>
      </c>
      <c r="B83" s="331" t="s">
        <v>347</v>
      </c>
      <c r="C83" s="332">
        <v>9179</v>
      </c>
      <c r="D83" s="332">
        <v>13319</v>
      </c>
      <c r="E83" s="332">
        <v>17118</v>
      </c>
    </row>
    <row r="84" spans="1:5" s="303" customFormat="1" ht="55.5" customHeight="1">
      <c r="A84" s="330" t="s">
        <v>713</v>
      </c>
      <c r="B84" s="331" t="s">
        <v>349</v>
      </c>
      <c r="C84" s="328">
        <v>0</v>
      </c>
      <c r="D84" s="328">
        <v>0</v>
      </c>
      <c r="E84" s="328">
        <v>0</v>
      </c>
    </row>
    <row r="85" spans="1:5" s="303" customFormat="1" ht="66" customHeight="1">
      <c r="A85" s="330" t="s">
        <v>714</v>
      </c>
      <c r="B85" s="331" t="s">
        <v>351</v>
      </c>
      <c r="C85" s="328">
        <v>9340</v>
      </c>
      <c r="D85" s="328">
        <v>0</v>
      </c>
      <c r="E85" s="328">
        <v>0</v>
      </c>
    </row>
    <row r="86" spans="1:5" s="303" customFormat="1" ht="36" customHeight="1">
      <c r="A86" s="330" t="s">
        <v>733</v>
      </c>
      <c r="B86" s="333">
        <v>3290</v>
      </c>
      <c r="C86" s="332">
        <v>328</v>
      </c>
      <c r="D86" s="332">
        <v>3954</v>
      </c>
      <c r="E86" s="332">
        <v>1258</v>
      </c>
    </row>
    <row r="87" spans="1:5" s="303" customFormat="1" ht="16.5" customHeight="1">
      <c r="A87" s="322" t="s">
        <v>715</v>
      </c>
      <c r="B87" s="333">
        <v>3320</v>
      </c>
      <c r="C87" s="328">
        <f>C88</f>
        <v>0</v>
      </c>
      <c r="D87" s="328">
        <f>D88</f>
        <v>2</v>
      </c>
      <c r="E87" s="328">
        <f>E88</f>
        <v>0</v>
      </c>
    </row>
    <row r="88" spans="1:5" s="303" customFormat="1" ht="15.75" customHeight="1">
      <c r="A88" s="321" t="s">
        <v>678</v>
      </c>
      <c r="B88" s="322"/>
      <c r="C88" s="323">
        <v>0</v>
      </c>
      <c r="D88" s="323">
        <v>2</v>
      </c>
      <c r="E88" s="323">
        <v>0</v>
      </c>
    </row>
    <row r="89" spans="1:5" s="303" customFormat="1" ht="15.75" customHeight="1">
      <c r="A89" s="334" t="s">
        <v>727</v>
      </c>
      <c r="B89" s="334">
        <v>3380</v>
      </c>
      <c r="C89" s="334">
        <v>437</v>
      </c>
      <c r="D89" s="334">
        <v>0</v>
      </c>
      <c r="E89" s="334">
        <v>934</v>
      </c>
    </row>
    <row r="90" spans="1:5" s="303" customFormat="1" ht="15.75" customHeight="1">
      <c r="A90" s="334"/>
      <c r="B90" s="334"/>
      <c r="C90" s="334">
        <v>182</v>
      </c>
      <c r="D90" s="334"/>
      <c r="E90" s="334">
        <v>715</v>
      </c>
    </row>
    <row r="91" spans="1:5" s="303" customFormat="1" ht="15.75" customHeight="1">
      <c r="A91" s="334"/>
      <c r="B91" s="334"/>
      <c r="C91" s="334">
        <v>255</v>
      </c>
      <c r="D91" s="334"/>
      <c r="E91" s="334">
        <v>219</v>
      </c>
    </row>
    <row r="92" spans="1:5" s="303" customFormat="1" ht="15.75" customHeight="1">
      <c r="A92" s="334"/>
      <c r="B92" s="334"/>
      <c r="C92" s="334"/>
      <c r="D92" s="334"/>
      <c r="E92" s="334"/>
    </row>
    <row r="93" s="303" customFormat="1" ht="15.75" customHeight="1">
      <c r="E93" s="283"/>
    </row>
    <row r="94" s="303" customFormat="1" ht="15.75" customHeight="1">
      <c r="E94" s="283"/>
    </row>
    <row r="95" spans="1:5" s="303" customFormat="1" ht="15.75" customHeight="1">
      <c r="A95" s="303" t="s">
        <v>693</v>
      </c>
      <c r="C95" s="451" t="s">
        <v>694</v>
      </c>
      <c r="D95" s="451"/>
      <c r="E95" s="283"/>
    </row>
  </sheetData>
  <sheetProtection selectLockedCells="1" selectUnlockedCells="1"/>
  <mergeCells count="5">
    <mergeCell ref="A1:E1"/>
    <mergeCell ref="A4:E4"/>
    <mergeCell ref="A65:D65"/>
    <mergeCell ref="C95:D95"/>
    <mergeCell ref="A58:E58"/>
  </mergeCells>
  <printOptions/>
  <pageMargins left="0.7875" right="0.39375" top="0.5902777777777778" bottom="0.5902777777777778" header="0.5118055555555555" footer="0.5118055555555555"/>
  <pageSetup horizontalDpi="600" verticalDpi="600" orientation="portrait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5"/>
  <sheetViews>
    <sheetView view="pageBreakPreview" zoomScaleNormal="83" zoomScaleSheetLayoutView="100" zoomScalePageLayoutView="0" workbookViewId="0" topLeftCell="A1">
      <pane ySplit="5" topLeftCell="A105" activePane="bottomLeft" state="frozen"/>
      <selection pane="topLeft" activeCell="A1" sqref="A1"/>
      <selection pane="bottomLeft" activeCell="B55" sqref="B55:B75"/>
    </sheetView>
  </sheetViews>
  <sheetFormatPr defaultColWidth="8.625" defaultRowHeight="12.75"/>
  <cols>
    <col min="1" max="1" width="65.625" style="1" customWidth="1"/>
    <col min="2" max="2" width="8.625" style="2" customWidth="1"/>
    <col min="3" max="3" width="15.625" style="2" customWidth="1"/>
    <col min="4" max="4" width="13.375" style="2" customWidth="1"/>
    <col min="5" max="5" width="13.875" style="2" customWidth="1"/>
    <col min="6" max="6" width="14.75390625" style="3" customWidth="1"/>
    <col min="7" max="7" width="14.375" style="3" customWidth="1"/>
    <col min="8" max="8" width="28.375" style="2" customWidth="1"/>
    <col min="9" max="16384" width="8.625" style="1" customWidth="1"/>
  </cols>
  <sheetData>
    <row r="1" spans="1:8" ht="18" customHeight="1">
      <c r="A1" s="357" t="s">
        <v>44</v>
      </c>
      <c r="B1" s="357"/>
      <c r="C1" s="357"/>
      <c r="D1" s="357"/>
      <c r="E1" s="357"/>
      <c r="F1" s="357"/>
      <c r="G1" s="357"/>
      <c r="H1" s="357"/>
    </row>
    <row r="2" spans="1:8" ht="12.75" customHeight="1">
      <c r="A2" s="35"/>
      <c r="B2" s="36"/>
      <c r="C2" s="36"/>
      <c r="D2" s="36"/>
      <c r="E2" s="36"/>
      <c r="F2" s="37"/>
      <c r="G2" s="37"/>
      <c r="H2" s="36"/>
    </row>
    <row r="3" spans="1:8" ht="39" customHeight="1">
      <c r="A3" s="343" t="s">
        <v>36</v>
      </c>
      <c r="B3" s="344" t="s">
        <v>37</v>
      </c>
      <c r="C3" s="358" t="s">
        <v>38</v>
      </c>
      <c r="D3" s="360" t="s">
        <v>200</v>
      </c>
      <c r="E3" s="360"/>
      <c r="F3" s="360"/>
      <c r="G3" s="360"/>
      <c r="H3" s="360"/>
    </row>
    <row r="4" spans="1:8" ht="93.75">
      <c r="A4" s="343"/>
      <c r="B4" s="344"/>
      <c r="C4" s="359"/>
      <c r="D4" s="189" t="s">
        <v>40</v>
      </c>
      <c r="E4" s="189" t="s">
        <v>41</v>
      </c>
      <c r="F4" s="103" t="s">
        <v>42</v>
      </c>
      <c r="G4" s="103" t="s">
        <v>43</v>
      </c>
      <c r="H4" s="103" t="s">
        <v>201</v>
      </c>
    </row>
    <row r="5" spans="1:8" ht="18.75">
      <c r="A5" s="104">
        <v>1</v>
      </c>
      <c r="B5" s="103">
        <v>2</v>
      </c>
      <c r="C5" s="104">
        <v>3</v>
      </c>
      <c r="D5" s="104">
        <v>4</v>
      </c>
      <c r="E5" s="103">
        <v>5</v>
      </c>
      <c r="F5" s="152">
        <v>6</v>
      </c>
      <c r="G5" s="139">
        <v>7</v>
      </c>
      <c r="H5" s="104">
        <v>8</v>
      </c>
    </row>
    <row r="6" spans="1:8" s="24" customFormat="1" ht="24.75" customHeight="1">
      <c r="A6" s="342" t="s">
        <v>202</v>
      </c>
      <c r="B6" s="342"/>
      <c r="C6" s="342"/>
      <c r="D6" s="342"/>
      <c r="E6" s="342"/>
      <c r="F6" s="342"/>
      <c r="G6" s="342"/>
      <c r="H6" s="342"/>
    </row>
    <row r="7" spans="1:8" s="24" customFormat="1" ht="55.5" customHeight="1">
      <c r="A7" s="113" t="s">
        <v>45</v>
      </c>
      <c r="B7" s="120">
        <v>1000</v>
      </c>
      <c r="C7" s="153">
        <v>193660</v>
      </c>
      <c r="D7" s="154">
        <v>277940</v>
      </c>
      <c r="E7" s="153">
        <v>271936</v>
      </c>
      <c r="F7" s="132">
        <f aca="true" t="shared" si="0" ref="F7:F81">E7-D7</f>
        <v>-6004</v>
      </c>
      <c r="G7" s="133">
        <f aca="true" t="shared" si="1" ref="G7:G81">(E7/D7)*100</f>
        <v>97.8</v>
      </c>
      <c r="H7" s="155" t="s">
        <v>203</v>
      </c>
    </row>
    <row r="8" spans="1:8" ht="37.5">
      <c r="A8" s="114" t="s">
        <v>46</v>
      </c>
      <c r="B8" s="104">
        <v>1010</v>
      </c>
      <c r="C8" s="140">
        <f>SUM(C9:C16)</f>
        <v>-196044</v>
      </c>
      <c r="D8" s="140">
        <f>SUM(D9:D16)</f>
        <v>-252290</v>
      </c>
      <c r="E8" s="140">
        <f>SUM(E9:E16)</f>
        <v>-241851</v>
      </c>
      <c r="F8" s="134">
        <f t="shared" si="0"/>
        <v>10439</v>
      </c>
      <c r="G8" s="135">
        <f t="shared" si="1"/>
        <v>95.9</v>
      </c>
      <c r="H8" s="155" t="s">
        <v>204</v>
      </c>
    </row>
    <row r="9" spans="1:8" s="38" customFormat="1" ht="19.5" customHeight="1">
      <c r="A9" s="114" t="s">
        <v>205</v>
      </c>
      <c r="B9" s="103">
        <v>1011</v>
      </c>
      <c r="C9" s="138">
        <v>-16654</v>
      </c>
      <c r="D9" s="134">
        <v>-28002</v>
      </c>
      <c r="E9" s="134">
        <v>-17682</v>
      </c>
      <c r="F9" s="134">
        <f t="shared" si="0"/>
        <v>10320</v>
      </c>
      <c r="G9" s="135">
        <f t="shared" si="1"/>
        <v>63.1</v>
      </c>
      <c r="H9" s="155" t="s">
        <v>206</v>
      </c>
    </row>
    <row r="10" spans="1:8" s="38" customFormat="1" ht="19.5" customHeight="1">
      <c r="A10" s="114" t="s">
        <v>207</v>
      </c>
      <c r="B10" s="103">
        <v>1012</v>
      </c>
      <c r="C10" s="138">
        <v>-1113</v>
      </c>
      <c r="D10" s="134">
        <v>-1600</v>
      </c>
      <c r="E10" s="134">
        <v>-2392</v>
      </c>
      <c r="F10" s="134">
        <f t="shared" si="0"/>
        <v>-792</v>
      </c>
      <c r="G10" s="135">
        <f t="shared" si="1"/>
        <v>149.5</v>
      </c>
      <c r="H10" s="155" t="s">
        <v>208</v>
      </c>
    </row>
    <row r="11" spans="1:8" s="38" customFormat="1" ht="19.5" customHeight="1">
      <c r="A11" s="114" t="s">
        <v>209</v>
      </c>
      <c r="B11" s="103">
        <v>1013</v>
      </c>
      <c r="C11" s="138">
        <v>-60953</v>
      </c>
      <c r="D11" s="134">
        <v>-79400</v>
      </c>
      <c r="E11" s="134">
        <v>-84397</v>
      </c>
      <c r="F11" s="134">
        <f t="shared" si="0"/>
        <v>-4997</v>
      </c>
      <c r="G11" s="135">
        <f t="shared" si="1"/>
        <v>106.3</v>
      </c>
      <c r="H11" s="155" t="s">
        <v>208</v>
      </c>
    </row>
    <row r="12" spans="1:8" s="38" customFormat="1" ht="18.75">
      <c r="A12" s="114" t="s">
        <v>84</v>
      </c>
      <c r="B12" s="103">
        <v>1014</v>
      </c>
      <c r="C12" s="138">
        <v>-63797</v>
      </c>
      <c r="D12" s="134">
        <v>-80078</v>
      </c>
      <c r="E12" s="134">
        <v>-79271</v>
      </c>
      <c r="F12" s="134">
        <f t="shared" si="0"/>
        <v>807</v>
      </c>
      <c r="G12" s="135">
        <f t="shared" si="1"/>
        <v>99</v>
      </c>
      <c r="H12" s="155" t="s">
        <v>535</v>
      </c>
    </row>
    <row r="13" spans="1:8" s="38" customFormat="1" ht="19.5" customHeight="1">
      <c r="A13" s="114" t="s">
        <v>85</v>
      </c>
      <c r="B13" s="103">
        <v>1015</v>
      </c>
      <c r="C13" s="138">
        <v>-13859</v>
      </c>
      <c r="D13" s="134">
        <v>-17590</v>
      </c>
      <c r="E13" s="134">
        <v>-17204</v>
      </c>
      <c r="F13" s="134">
        <f t="shared" si="0"/>
        <v>386</v>
      </c>
      <c r="G13" s="135">
        <f t="shared" si="1"/>
        <v>97.8</v>
      </c>
      <c r="H13" s="155" t="s">
        <v>535</v>
      </c>
    </row>
    <row r="14" spans="1:8" s="38" customFormat="1" ht="60" customHeight="1">
      <c r="A14" s="114" t="s">
        <v>210</v>
      </c>
      <c r="B14" s="103">
        <v>1016</v>
      </c>
      <c r="C14" s="156">
        <v>-739</v>
      </c>
      <c r="D14" s="134">
        <v>-1000</v>
      </c>
      <c r="E14" s="134">
        <v>-243</v>
      </c>
      <c r="F14" s="134">
        <f t="shared" si="0"/>
        <v>757</v>
      </c>
      <c r="G14" s="135">
        <f t="shared" si="1"/>
        <v>24.3</v>
      </c>
      <c r="H14" s="155" t="s">
        <v>206</v>
      </c>
    </row>
    <row r="15" spans="1:8" s="38" customFormat="1" ht="24.75" customHeight="1">
      <c r="A15" s="114" t="s">
        <v>211</v>
      </c>
      <c r="B15" s="103">
        <v>1017</v>
      </c>
      <c r="C15" s="138">
        <v>-19989</v>
      </c>
      <c r="D15" s="134">
        <v>-22800</v>
      </c>
      <c r="E15" s="134">
        <v>-16906</v>
      </c>
      <c r="F15" s="134">
        <f t="shared" si="0"/>
        <v>5894</v>
      </c>
      <c r="G15" s="135">
        <f t="shared" si="1"/>
        <v>74.1</v>
      </c>
      <c r="H15" s="155" t="s">
        <v>206</v>
      </c>
    </row>
    <row r="16" spans="1:8" s="38" customFormat="1" ht="30">
      <c r="A16" s="114" t="s">
        <v>212</v>
      </c>
      <c r="B16" s="103">
        <v>1018</v>
      </c>
      <c r="C16" s="138">
        <v>-18940</v>
      </c>
      <c r="D16" s="134">
        <v>-21820</v>
      </c>
      <c r="E16" s="134">
        <v>-23756</v>
      </c>
      <c r="F16" s="134">
        <f t="shared" si="0"/>
        <v>-1936</v>
      </c>
      <c r="G16" s="135">
        <f t="shared" si="1"/>
        <v>108.9</v>
      </c>
      <c r="H16" s="155" t="s">
        <v>213</v>
      </c>
    </row>
    <row r="17" spans="1:8" s="24" customFormat="1" ht="19.5" customHeight="1">
      <c r="A17" s="113" t="s">
        <v>214</v>
      </c>
      <c r="B17" s="120">
        <v>1020</v>
      </c>
      <c r="C17" s="117">
        <f>SUM(C7,C8)</f>
        <v>-2384</v>
      </c>
      <c r="D17" s="117">
        <f>SUM(D7,D8)</f>
        <v>25650</v>
      </c>
      <c r="E17" s="117">
        <f>SUM(E7,E8)</f>
        <v>30085</v>
      </c>
      <c r="F17" s="132">
        <f t="shared" si="0"/>
        <v>4435</v>
      </c>
      <c r="G17" s="133">
        <f t="shared" si="1"/>
        <v>117.3</v>
      </c>
      <c r="H17" s="157"/>
    </row>
    <row r="18" spans="1:8" ht="19.5" customHeight="1">
      <c r="A18" s="113" t="s">
        <v>48</v>
      </c>
      <c r="B18" s="120">
        <v>1030</v>
      </c>
      <c r="C18" s="153">
        <f>SUM(C19:C38,C40)</f>
        <v>-8740</v>
      </c>
      <c r="D18" s="153">
        <f>SUM(D19:D38,D40)</f>
        <v>-10480</v>
      </c>
      <c r="E18" s="153">
        <f>SUM(E19:E38,E40)</f>
        <v>-10500</v>
      </c>
      <c r="F18" s="132">
        <f t="shared" si="0"/>
        <v>-20</v>
      </c>
      <c r="G18" s="133">
        <f t="shared" si="1"/>
        <v>100.2</v>
      </c>
      <c r="H18" s="155"/>
    </row>
    <row r="19" spans="1:8" ht="37.5">
      <c r="A19" s="114" t="s">
        <v>49</v>
      </c>
      <c r="B19" s="104">
        <v>1031</v>
      </c>
      <c r="C19" s="138">
        <v>-501</v>
      </c>
      <c r="D19" s="138">
        <v>-730</v>
      </c>
      <c r="E19" s="134">
        <v>-583</v>
      </c>
      <c r="F19" s="134">
        <f t="shared" si="0"/>
        <v>147</v>
      </c>
      <c r="G19" s="135">
        <f t="shared" si="1"/>
        <v>79.9</v>
      </c>
      <c r="H19" s="155" t="s">
        <v>206</v>
      </c>
    </row>
    <row r="20" spans="1:8" ht="19.5" customHeight="1">
      <c r="A20" s="114" t="s">
        <v>50</v>
      </c>
      <c r="B20" s="104">
        <v>1032</v>
      </c>
      <c r="C20" s="138" t="s">
        <v>215</v>
      </c>
      <c r="D20" s="138" t="s">
        <v>215</v>
      </c>
      <c r="E20" s="134" t="s">
        <v>215</v>
      </c>
      <c r="F20" s="134" t="e">
        <f t="shared" si="0"/>
        <v>#VALUE!</v>
      </c>
      <c r="G20" s="135" t="e">
        <f t="shared" si="1"/>
        <v>#VALUE!</v>
      </c>
      <c r="H20" s="155"/>
    </row>
    <row r="21" spans="1:8" ht="19.5" customHeight="1">
      <c r="A21" s="114" t="s">
        <v>51</v>
      </c>
      <c r="B21" s="104">
        <v>1033</v>
      </c>
      <c r="C21" s="138" t="s">
        <v>215</v>
      </c>
      <c r="D21" s="138" t="s">
        <v>215</v>
      </c>
      <c r="E21" s="134" t="s">
        <v>215</v>
      </c>
      <c r="F21" s="134" t="e">
        <f t="shared" si="0"/>
        <v>#VALUE!</v>
      </c>
      <c r="G21" s="135" t="e">
        <f t="shared" si="1"/>
        <v>#VALUE!</v>
      </c>
      <c r="H21" s="155"/>
    </row>
    <row r="22" spans="1:8" ht="19.5" customHeight="1">
      <c r="A22" s="114" t="s">
        <v>52</v>
      </c>
      <c r="B22" s="104">
        <v>1034</v>
      </c>
      <c r="C22" s="138" t="s">
        <v>215</v>
      </c>
      <c r="D22" s="138" t="s">
        <v>215</v>
      </c>
      <c r="E22" s="134" t="s">
        <v>215</v>
      </c>
      <c r="F22" s="134" t="e">
        <f t="shared" si="0"/>
        <v>#VALUE!</v>
      </c>
      <c r="G22" s="135" t="e">
        <f t="shared" si="1"/>
        <v>#VALUE!</v>
      </c>
      <c r="H22" s="155"/>
    </row>
    <row r="23" spans="1:8" ht="19.5" customHeight="1">
      <c r="A23" s="114" t="s">
        <v>53</v>
      </c>
      <c r="B23" s="104">
        <v>1035</v>
      </c>
      <c r="C23" s="138" t="s">
        <v>215</v>
      </c>
      <c r="D23" s="138">
        <v>-70</v>
      </c>
      <c r="E23" s="134">
        <v>-188</v>
      </c>
      <c r="F23" s="134">
        <f t="shared" si="0"/>
        <v>-118</v>
      </c>
      <c r="G23" s="135">
        <f t="shared" si="1"/>
        <v>268.6</v>
      </c>
      <c r="H23" s="155"/>
    </row>
    <row r="24" spans="1:8" s="38" customFormat="1" ht="19.5" customHeight="1">
      <c r="A24" s="114" t="s">
        <v>216</v>
      </c>
      <c r="B24" s="104">
        <v>1036</v>
      </c>
      <c r="C24" s="138">
        <v>-61</v>
      </c>
      <c r="D24" s="138">
        <v>-160</v>
      </c>
      <c r="E24" s="134">
        <v>-96</v>
      </c>
      <c r="F24" s="134">
        <f t="shared" si="0"/>
        <v>64</v>
      </c>
      <c r="G24" s="135">
        <f t="shared" si="1"/>
        <v>60</v>
      </c>
      <c r="H24" s="155" t="s">
        <v>206</v>
      </c>
    </row>
    <row r="25" spans="1:8" s="38" customFormat="1" ht="19.5" customHeight="1">
      <c r="A25" s="114" t="s">
        <v>217</v>
      </c>
      <c r="B25" s="104">
        <v>1037</v>
      </c>
      <c r="C25" s="138">
        <v>-35</v>
      </c>
      <c r="D25" s="138">
        <v>-36</v>
      </c>
      <c r="E25" s="134">
        <v>-64</v>
      </c>
      <c r="F25" s="134">
        <f t="shared" si="0"/>
        <v>-28</v>
      </c>
      <c r="G25" s="135">
        <f t="shared" si="1"/>
        <v>177.8</v>
      </c>
      <c r="H25" s="155" t="s">
        <v>536</v>
      </c>
    </row>
    <row r="26" spans="1:8" s="38" customFormat="1" ht="18.75">
      <c r="A26" s="114" t="s">
        <v>218</v>
      </c>
      <c r="B26" s="104">
        <v>1038</v>
      </c>
      <c r="C26" s="138">
        <v>-5203</v>
      </c>
      <c r="D26" s="138">
        <v>-6560</v>
      </c>
      <c r="E26" s="134">
        <v>-6231</v>
      </c>
      <c r="F26" s="134">
        <f t="shared" si="0"/>
        <v>329</v>
      </c>
      <c r="G26" s="135">
        <f t="shared" si="1"/>
        <v>95</v>
      </c>
      <c r="H26" s="155" t="s">
        <v>537</v>
      </c>
    </row>
    <row r="27" spans="1:8" s="38" customFormat="1" ht="19.5" customHeight="1">
      <c r="A27" s="114" t="s">
        <v>219</v>
      </c>
      <c r="B27" s="104">
        <v>1039</v>
      </c>
      <c r="C27" s="138">
        <v>-1108</v>
      </c>
      <c r="D27" s="138">
        <v>-1546</v>
      </c>
      <c r="E27" s="134">
        <v>-1343</v>
      </c>
      <c r="F27" s="134">
        <f t="shared" si="0"/>
        <v>203</v>
      </c>
      <c r="G27" s="135">
        <f t="shared" si="1"/>
        <v>86.9</v>
      </c>
      <c r="H27" s="155" t="s">
        <v>537</v>
      </c>
    </row>
    <row r="28" spans="1:8" s="38" customFormat="1" ht="38.25" customHeight="1">
      <c r="A28" s="114" t="s">
        <v>220</v>
      </c>
      <c r="B28" s="104">
        <v>1040</v>
      </c>
      <c r="C28" s="138">
        <v>-234</v>
      </c>
      <c r="D28" s="138">
        <v>-200</v>
      </c>
      <c r="E28" s="134">
        <v>-202</v>
      </c>
      <c r="F28" s="134">
        <f t="shared" si="0"/>
        <v>-2</v>
      </c>
      <c r="G28" s="135">
        <f t="shared" si="1"/>
        <v>101</v>
      </c>
      <c r="H28" s="155" t="s">
        <v>206</v>
      </c>
    </row>
    <row r="29" spans="1:8" s="38" customFormat="1" ht="41.25" customHeight="1">
      <c r="A29" s="114" t="s">
        <v>221</v>
      </c>
      <c r="B29" s="104">
        <v>1041</v>
      </c>
      <c r="C29" s="138" t="s">
        <v>215</v>
      </c>
      <c r="D29" s="138" t="s">
        <v>215</v>
      </c>
      <c r="E29" s="134" t="s">
        <v>215</v>
      </c>
      <c r="F29" s="134" t="e">
        <f t="shared" si="0"/>
        <v>#VALUE!</v>
      </c>
      <c r="G29" s="135" t="e">
        <f t="shared" si="1"/>
        <v>#VALUE!</v>
      </c>
      <c r="H29" s="155"/>
    </row>
    <row r="30" spans="1:8" s="38" customFormat="1" ht="37.5">
      <c r="A30" s="114" t="s">
        <v>222</v>
      </c>
      <c r="B30" s="104">
        <v>1042</v>
      </c>
      <c r="C30" s="138" t="s">
        <v>215</v>
      </c>
      <c r="D30" s="138" t="s">
        <v>215</v>
      </c>
      <c r="E30" s="134" t="s">
        <v>215</v>
      </c>
      <c r="F30" s="134" t="e">
        <f t="shared" si="0"/>
        <v>#VALUE!</v>
      </c>
      <c r="G30" s="135" t="e">
        <f t="shared" si="1"/>
        <v>#VALUE!</v>
      </c>
      <c r="H30" s="155"/>
    </row>
    <row r="31" spans="1:8" s="38" customFormat="1" ht="37.5">
      <c r="A31" s="114" t="s">
        <v>223</v>
      </c>
      <c r="B31" s="104">
        <v>1043</v>
      </c>
      <c r="C31" s="138" t="s">
        <v>215</v>
      </c>
      <c r="D31" s="138" t="s">
        <v>215</v>
      </c>
      <c r="E31" s="134" t="s">
        <v>215</v>
      </c>
      <c r="F31" s="134" t="e">
        <f t="shared" si="0"/>
        <v>#VALUE!</v>
      </c>
      <c r="G31" s="135" t="e">
        <f t="shared" si="1"/>
        <v>#VALUE!</v>
      </c>
      <c r="H31" s="155"/>
    </row>
    <row r="32" spans="1:8" s="38" customFormat="1" ht="37.5">
      <c r="A32" s="114" t="s">
        <v>224</v>
      </c>
      <c r="B32" s="104">
        <v>1044</v>
      </c>
      <c r="C32" s="138">
        <v>-232</v>
      </c>
      <c r="D32" s="138">
        <v>-200</v>
      </c>
      <c r="E32" s="134">
        <v>-214</v>
      </c>
      <c r="F32" s="134">
        <f t="shared" si="0"/>
        <v>-14</v>
      </c>
      <c r="G32" s="135">
        <f t="shared" si="1"/>
        <v>107</v>
      </c>
      <c r="H32" s="155"/>
    </row>
    <row r="33" spans="1:8" s="38" customFormat="1" ht="19.5" customHeight="1">
      <c r="A33" s="114" t="s">
        <v>225</v>
      </c>
      <c r="B33" s="104">
        <v>1045</v>
      </c>
      <c r="C33" s="138">
        <v>-38</v>
      </c>
      <c r="D33" s="138">
        <v>-80</v>
      </c>
      <c r="E33" s="134">
        <v>-37</v>
      </c>
      <c r="F33" s="134">
        <f t="shared" si="0"/>
        <v>43</v>
      </c>
      <c r="G33" s="135">
        <f t="shared" si="1"/>
        <v>46.3</v>
      </c>
      <c r="H33" s="155" t="s">
        <v>206</v>
      </c>
    </row>
    <row r="34" spans="1:8" s="38" customFormat="1" ht="30">
      <c r="A34" s="114" t="s">
        <v>226</v>
      </c>
      <c r="B34" s="104">
        <v>1046</v>
      </c>
      <c r="C34" s="138">
        <v>-459</v>
      </c>
      <c r="D34" s="138">
        <v>-330</v>
      </c>
      <c r="E34" s="134">
        <v>-872</v>
      </c>
      <c r="F34" s="134">
        <f t="shared" si="0"/>
        <v>-542</v>
      </c>
      <c r="G34" s="135">
        <f t="shared" si="1"/>
        <v>264.2</v>
      </c>
      <c r="H34" s="155" t="s">
        <v>213</v>
      </c>
    </row>
    <row r="35" spans="1:8" s="38" customFormat="1" ht="19.5" customHeight="1">
      <c r="A35" s="114" t="s">
        <v>227</v>
      </c>
      <c r="B35" s="104">
        <v>1047</v>
      </c>
      <c r="C35" s="138">
        <v>-241</v>
      </c>
      <c r="D35" s="138">
        <v>-180</v>
      </c>
      <c r="E35" s="134">
        <v>-241</v>
      </c>
      <c r="F35" s="134">
        <f t="shared" si="0"/>
        <v>-61</v>
      </c>
      <c r="G35" s="135">
        <f t="shared" si="1"/>
        <v>133.9</v>
      </c>
      <c r="H35" s="155" t="s">
        <v>208</v>
      </c>
    </row>
    <row r="36" spans="1:8" s="38" customFormat="1" ht="37.5">
      <c r="A36" s="114" t="s">
        <v>228</v>
      </c>
      <c r="B36" s="104">
        <v>1048</v>
      </c>
      <c r="C36" s="138" t="s">
        <v>215</v>
      </c>
      <c r="D36" s="138" t="s">
        <v>215</v>
      </c>
      <c r="E36" s="134" t="s">
        <v>215</v>
      </c>
      <c r="F36" s="134" t="e">
        <f t="shared" si="0"/>
        <v>#VALUE!</v>
      </c>
      <c r="G36" s="135" t="e">
        <f t="shared" si="1"/>
        <v>#VALUE!</v>
      </c>
      <c r="H36" s="155"/>
    </row>
    <row r="37" spans="1:8" s="38" customFormat="1" ht="37.5">
      <c r="A37" s="114" t="s">
        <v>229</v>
      </c>
      <c r="B37" s="104">
        <v>1049</v>
      </c>
      <c r="C37" s="138">
        <v>-19</v>
      </c>
      <c r="D37" s="138">
        <v>-38</v>
      </c>
      <c r="E37" s="134">
        <v>-53</v>
      </c>
      <c r="F37" s="134">
        <f t="shared" si="0"/>
        <v>-15</v>
      </c>
      <c r="G37" s="135">
        <f t="shared" si="1"/>
        <v>139.5</v>
      </c>
      <c r="H37" s="155" t="s">
        <v>538</v>
      </c>
    </row>
    <row r="38" spans="1:8" s="38" customFormat="1" ht="56.25">
      <c r="A38" s="114" t="s">
        <v>230</v>
      </c>
      <c r="B38" s="104">
        <v>1050</v>
      </c>
      <c r="C38" s="138">
        <v>-93</v>
      </c>
      <c r="D38" s="138">
        <v>-80</v>
      </c>
      <c r="E38" s="134">
        <v>-174</v>
      </c>
      <c r="F38" s="134">
        <f t="shared" si="0"/>
        <v>-94</v>
      </c>
      <c r="G38" s="135">
        <f t="shared" si="1"/>
        <v>217.5</v>
      </c>
      <c r="H38" s="155" t="s">
        <v>208</v>
      </c>
    </row>
    <row r="39" spans="1:8" s="38" customFormat="1" ht="19.5" customHeight="1">
      <c r="A39" s="114" t="s">
        <v>231</v>
      </c>
      <c r="B39" s="104" t="s">
        <v>232</v>
      </c>
      <c r="C39" s="138">
        <v>-12</v>
      </c>
      <c r="D39" s="138">
        <v>-10</v>
      </c>
      <c r="E39" s="134">
        <v>-19</v>
      </c>
      <c r="F39" s="134">
        <f t="shared" si="0"/>
        <v>-9</v>
      </c>
      <c r="G39" s="135">
        <f t="shared" si="1"/>
        <v>190</v>
      </c>
      <c r="H39" s="155" t="s">
        <v>538</v>
      </c>
    </row>
    <row r="40" spans="1:8" s="38" customFormat="1" ht="19.5" customHeight="1">
      <c r="A40" s="114" t="s">
        <v>233</v>
      </c>
      <c r="B40" s="104">
        <v>1051</v>
      </c>
      <c r="C40" s="138">
        <v>-516</v>
      </c>
      <c r="D40" s="138">
        <v>-270</v>
      </c>
      <c r="E40" s="134">
        <v>-202</v>
      </c>
      <c r="F40" s="134">
        <f t="shared" si="0"/>
        <v>68</v>
      </c>
      <c r="G40" s="135">
        <f t="shared" si="1"/>
        <v>74.8</v>
      </c>
      <c r="H40" s="155" t="s">
        <v>206</v>
      </c>
    </row>
    <row r="41" spans="1:8" ht="19.5" customHeight="1">
      <c r="A41" s="113" t="s">
        <v>234</v>
      </c>
      <c r="B41" s="120">
        <v>1060</v>
      </c>
      <c r="C41" s="153">
        <f>SUM(C42:C48)</f>
        <v>-9922</v>
      </c>
      <c r="D41" s="153">
        <f>SUM(D42:D48)</f>
        <v>-14710</v>
      </c>
      <c r="E41" s="153">
        <f>SUM(E42:E48)</f>
        <v>-12956</v>
      </c>
      <c r="F41" s="132">
        <f t="shared" si="0"/>
        <v>1754</v>
      </c>
      <c r="G41" s="133">
        <f t="shared" si="1"/>
        <v>88.1</v>
      </c>
      <c r="H41" s="155"/>
    </row>
    <row r="42" spans="1:8" s="38" customFormat="1" ht="19.5" customHeight="1">
      <c r="A42" s="114" t="s">
        <v>235</v>
      </c>
      <c r="B42" s="104">
        <v>1061</v>
      </c>
      <c r="C42" s="138" t="s">
        <v>215</v>
      </c>
      <c r="D42" s="138" t="s">
        <v>215</v>
      </c>
      <c r="E42" s="134" t="s">
        <v>215</v>
      </c>
      <c r="F42" s="134" t="e">
        <f t="shared" si="0"/>
        <v>#VALUE!</v>
      </c>
      <c r="G42" s="135" t="e">
        <f t="shared" si="1"/>
        <v>#VALUE!</v>
      </c>
      <c r="H42" s="155"/>
    </row>
    <row r="43" spans="1:8" s="38" customFormat="1" ht="19.5" customHeight="1">
      <c r="A43" s="114" t="s">
        <v>236</v>
      </c>
      <c r="B43" s="104">
        <v>1062</v>
      </c>
      <c r="C43" s="138" t="s">
        <v>215</v>
      </c>
      <c r="D43" s="138" t="s">
        <v>215</v>
      </c>
      <c r="E43" s="134" t="s">
        <v>215</v>
      </c>
      <c r="F43" s="134" t="e">
        <f t="shared" si="0"/>
        <v>#VALUE!</v>
      </c>
      <c r="G43" s="135" t="e">
        <f t="shared" si="1"/>
        <v>#VALUE!</v>
      </c>
      <c r="H43" s="155"/>
    </row>
    <row r="44" spans="1:8" s="38" customFormat="1" ht="30">
      <c r="A44" s="114" t="s">
        <v>218</v>
      </c>
      <c r="B44" s="104">
        <v>1063</v>
      </c>
      <c r="C44" s="138">
        <v>-5897</v>
      </c>
      <c r="D44" s="138">
        <v>-7800</v>
      </c>
      <c r="E44" s="134">
        <v>-7520</v>
      </c>
      <c r="F44" s="134">
        <f t="shared" si="0"/>
        <v>280</v>
      </c>
      <c r="G44" s="135">
        <f t="shared" si="1"/>
        <v>96.4</v>
      </c>
      <c r="H44" s="155" t="s">
        <v>539</v>
      </c>
    </row>
    <row r="45" spans="1:8" s="38" customFormat="1" ht="30">
      <c r="A45" s="114" t="s">
        <v>219</v>
      </c>
      <c r="B45" s="104">
        <v>1064</v>
      </c>
      <c r="C45" s="138">
        <v>-1291</v>
      </c>
      <c r="D45" s="138">
        <v>-2260</v>
      </c>
      <c r="E45" s="134">
        <v>-1633</v>
      </c>
      <c r="F45" s="134">
        <f t="shared" si="0"/>
        <v>627</v>
      </c>
      <c r="G45" s="135">
        <f t="shared" si="1"/>
        <v>72.3</v>
      </c>
      <c r="H45" s="155" t="s">
        <v>539</v>
      </c>
    </row>
    <row r="46" spans="1:8" s="38" customFormat="1" ht="37.5">
      <c r="A46" s="114" t="s">
        <v>237</v>
      </c>
      <c r="B46" s="104">
        <v>1065</v>
      </c>
      <c r="C46" s="138">
        <v>-163</v>
      </c>
      <c r="D46" s="138">
        <v>-150</v>
      </c>
      <c r="E46" s="134">
        <v>-397</v>
      </c>
      <c r="F46" s="134">
        <f t="shared" si="0"/>
        <v>-247</v>
      </c>
      <c r="G46" s="135">
        <f t="shared" si="1"/>
        <v>264.7</v>
      </c>
      <c r="H46" s="155" t="s">
        <v>540</v>
      </c>
    </row>
    <row r="47" spans="1:8" s="38" customFormat="1" ht="19.5" customHeight="1">
      <c r="A47" s="114" t="s">
        <v>238</v>
      </c>
      <c r="B47" s="104">
        <v>1066</v>
      </c>
      <c r="C47" s="138" t="s">
        <v>215</v>
      </c>
      <c r="D47" s="138" t="s">
        <v>215</v>
      </c>
      <c r="E47" s="134" t="s">
        <v>215</v>
      </c>
      <c r="F47" s="134" t="e">
        <f t="shared" si="0"/>
        <v>#VALUE!</v>
      </c>
      <c r="G47" s="135" t="e">
        <f t="shared" si="1"/>
        <v>#VALUE!</v>
      </c>
      <c r="H47" s="155"/>
    </row>
    <row r="48" spans="1:8" s="38" customFormat="1" ht="19.5" customHeight="1">
      <c r="A48" s="114" t="s">
        <v>239</v>
      </c>
      <c r="B48" s="104">
        <v>1067</v>
      </c>
      <c r="C48" s="138">
        <v>-2571</v>
      </c>
      <c r="D48" s="138">
        <v>-4500</v>
      </c>
      <c r="E48" s="134">
        <v>-3406</v>
      </c>
      <c r="F48" s="134">
        <f t="shared" si="0"/>
        <v>1094</v>
      </c>
      <c r="G48" s="135">
        <f t="shared" si="1"/>
        <v>75.7</v>
      </c>
      <c r="H48" s="155" t="s">
        <v>206</v>
      </c>
    </row>
    <row r="49" spans="1:8" s="38" customFormat="1" ht="30">
      <c r="A49" s="114" t="s">
        <v>240</v>
      </c>
      <c r="B49" s="104">
        <v>1070</v>
      </c>
      <c r="C49" s="140">
        <f>SUM(C50:C52)</f>
        <v>43626</v>
      </c>
      <c r="D49" s="158">
        <f>SUM(D50:D52)</f>
        <v>29170</v>
      </c>
      <c r="E49" s="140">
        <f>SUM(E50:E52)</f>
        <v>28678</v>
      </c>
      <c r="F49" s="134">
        <f t="shared" si="0"/>
        <v>-492</v>
      </c>
      <c r="G49" s="135">
        <f t="shared" si="1"/>
        <v>98.3</v>
      </c>
      <c r="H49" s="155" t="s">
        <v>541</v>
      </c>
    </row>
    <row r="50" spans="1:8" s="38" customFormat="1" ht="19.5" customHeight="1">
      <c r="A50" s="114" t="s">
        <v>56</v>
      </c>
      <c r="B50" s="104">
        <v>1071</v>
      </c>
      <c r="C50" s="134">
        <v>0</v>
      </c>
      <c r="D50" s="138"/>
      <c r="E50" s="134">
        <v>0</v>
      </c>
      <c r="F50" s="134">
        <f t="shared" si="0"/>
        <v>0</v>
      </c>
      <c r="G50" s="135" t="e">
        <f t="shared" si="1"/>
        <v>#DIV/0!</v>
      </c>
      <c r="H50" s="155"/>
    </row>
    <row r="51" spans="1:8" s="38" customFormat="1" ht="19.5" customHeight="1">
      <c r="A51" s="114" t="s">
        <v>241</v>
      </c>
      <c r="B51" s="104">
        <v>1072</v>
      </c>
      <c r="C51" s="134">
        <v>0</v>
      </c>
      <c r="D51" s="138"/>
      <c r="E51" s="134">
        <v>0</v>
      </c>
      <c r="F51" s="134">
        <f t="shared" si="0"/>
        <v>0</v>
      </c>
      <c r="G51" s="135" t="e">
        <f t="shared" si="1"/>
        <v>#DIV/0!</v>
      </c>
      <c r="H51" s="155"/>
    </row>
    <row r="52" spans="1:8" s="38" customFormat="1" ht="28.5" customHeight="1">
      <c r="A52" s="114" t="s">
        <v>242</v>
      </c>
      <c r="B52" s="104">
        <v>1073</v>
      </c>
      <c r="C52" s="138">
        <v>43626</v>
      </c>
      <c r="D52" s="138">
        <v>29170</v>
      </c>
      <c r="E52" s="134">
        <v>28678</v>
      </c>
      <c r="F52" s="134">
        <f t="shared" si="0"/>
        <v>-492</v>
      </c>
      <c r="G52" s="135">
        <f t="shared" si="1"/>
        <v>98.3</v>
      </c>
      <c r="H52" s="155" t="s">
        <v>243</v>
      </c>
    </row>
    <row r="53" spans="1:8" s="38" customFormat="1" ht="19.5" customHeight="1">
      <c r="A53" s="159" t="s">
        <v>244</v>
      </c>
      <c r="B53" s="104">
        <v>1080</v>
      </c>
      <c r="C53" s="140">
        <f>SUM(C54:C59)</f>
        <v>-11636</v>
      </c>
      <c r="D53" s="158">
        <f>SUM(D54:D59)</f>
        <v>-12042</v>
      </c>
      <c r="E53" s="140">
        <f>SUM(E54:E59)</f>
        <v>-11290</v>
      </c>
      <c r="F53" s="134">
        <f t="shared" si="0"/>
        <v>752</v>
      </c>
      <c r="G53" s="135">
        <f t="shared" si="1"/>
        <v>93.8</v>
      </c>
      <c r="H53" s="155" t="s">
        <v>245</v>
      </c>
    </row>
    <row r="54" spans="1:8" s="38" customFormat="1" ht="19.5" customHeight="1">
      <c r="A54" s="114" t="s">
        <v>56</v>
      </c>
      <c r="B54" s="104">
        <v>1081</v>
      </c>
      <c r="C54" s="134">
        <v>0</v>
      </c>
      <c r="D54" s="138">
        <v>0</v>
      </c>
      <c r="E54" s="134">
        <v>0</v>
      </c>
      <c r="F54" s="134">
        <f t="shared" si="0"/>
        <v>0</v>
      </c>
      <c r="G54" s="135" t="e">
        <f t="shared" si="1"/>
        <v>#DIV/0!</v>
      </c>
      <c r="H54" s="155"/>
    </row>
    <row r="55" spans="1:8" s="38" customFormat="1" ht="19.5" customHeight="1">
      <c r="A55" s="114" t="s">
        <v>246</v>
      </c>
      <c r="B55" s="104">
        <v>1082</v>
      </c>
      <c r="C55" s="134">
        <v>0</v>
      </c>
      <c r="D55" s="138">
        <v>0</v>
      </c>
      <c r="E55" s="134">
        <v>0</v>
      </c>
      <c r="F55" s="134">
        <f t="shared" si="0"/>
        <v>0</v>
      </c>
      <c r="G55" s="135" t="e">
        <f t="shared" si="1"/>
        <v>#DIV/0!</v>
      </c>
      <c r="H55" s="155"/>
    </row>
    <row r="56" spans="1:8" s="38" customFormat="1" ht="19.5" customHeight="1">
      <c r="A56" s="114" t="s">
        <v>247</v>
      </c>
      <c r="B56" s="104">
        <v>1083</v>
      </c>
      <c r="C56" s="134" t="s">
        <v>215</v>
      </c>
      <c r="D56" s="138" t="s">
        <v>215</v>
      </c>
      <c r="E56" s="134" t="s">
        <v>215</v>
      </c>
      <c r="F56" s="134" t="e">
        <f t="shared" si="0"/>
        <v>#VALUE!</v>
      </c>
      <c r="G56" s="135" t="e">
        <f t="shared" si="1"/>
        <v>#VALUE!</v>
      </c>
      <c r="H56" s="155"/>
    </row>
    <row r="57" spans="1:8" s="38" customFormat="1" ht="19.5" customHeight="1">
      <c r="A57" s="114" t="s">
        <v>248</v>
      </c>
      <c r="B57" s="104">
        <v>1084</v>
      </c>
      <c r="C57" s="134" t="s">
        <v>215</v>
      </c>
      <c r="D57" s="138" t="s">
        <v>215</v>
      </c>
      <c r="E57" s="134" t="s">
        <v>215</v>
      </c>
      <c r="F57" s="134" t="e">
        <f t="shared" si="0"/>
        <v>#VALUE!</v>
      </c>
      <c r="G57" s="135" t="e">
        <f t="shared" si="1"/>
        <v>#VALUE!</v>
      </c>
      <c r="H57" s="155"/>
    </row>
    <row r="58" spans="1:8" s="38" customFormat="1" ht="19.5" customHeight="1">
      <c r="A58" s="114" t="s">
        <v>249</v>
      </c>
      <c r="B58" s="104">
        <v>1085</v>
      </c>
      <c r="C58" s="134" t="s">
        <v>215</v>
      </c>
      <c r="D58" s="138" t="s">
        <v>215</v>
      </c>
      <c r="E58" s="134" t="s">
        <v>215</v>
      </c>
      <c r="F58" s="134" t="e">
        <f t="shared" si="0"/>
        <v>#VALUE!</v>
      </c>
      <c r="G58" s="135" t="e">
        <f t="shared" si="1"/>
        <v>#VALUE!</v>
      </c>
      <c r="H58" s="155"/>
    </row>
    <row r="59" spans="1:8" s="38" customFormat="1" ht="19.5" customHeight="1">
      <c r="A59" s="114" t="s">
        <v>250</v>
      </c>
      <c r="B59" s="104">
        <v>1086</v>
      </c>
      <c r="C59" s="138">
        <v>-11636</v>
      </c>
      <c r="D59" s="138">
        <v>-12042</v>
      </c>
      <c r="E59" s="134">
        <v>-11290</v>
      </c>
      <c r="F59" s="134">
        <f t="shared" si="0"/>
        <v>752</v>
      </c>
      <c r="G59" s="135">
        <f t="shared" si="1"/>
        <v>93.8</v>
      </c>
      <c r="H59" s="155" t="s">
        <v>245</v>
      </c>
    </row>
    <row r="60" spans="1:8" s="24" customFormat="1" ht="19.5" customHeight="1">
      <c r="A60" s="113" t="s">
        <v>60</v>
      </c>
      <c r="B60" s="120">
        <v>1100</v>
      </c>
      <c r="C60" s="117">
        <f>SUM(C17,C18,C41,C49,C53)</f>
        <v>10944</v>
      </c>
      <c r="D60" s="117">
        <f>SUM(D17,D18,D41,D49,D53)</f>
        <v>17588</v>
      </c>
      <c r="E60" s="117">
        <f>SUM(E17,E18,E41,E49,E53)</f>
        <v>24017</v>
      </c>
      <c r="F60" s="132">
        <f t="shared" si="0"/>
        <v>6429</v>
      </c>
      <c r="G60" s="133">
        <f t="shared" si="1"/>
        <v>136.6</v>
      </c>
      <c r="H60" s="157"/>
    </row>
    <row r="61" spans="1:8" ht="19.5" customHeight="1">
      <c r="A61" s="114" t="s">
        <v>251</v>
      </c>
      <c r="B61" s="104">
        <v>1110</v>
      </c>
      <c r="C61" s="138"/>
      <c r="D61" s="134"/>
      <c r="E61" s="134"/>
      <c r="F61" s="134">
        <f t="shared" si="0"/>
        <v>0</v>
      </c>
      <c r="G61" s="135" t="e">
        <f t="shared" si="1"/>
        <v>#DIV/0!</v>
      </c>
      <c r="H61" s="155"/>
    </row>
    <row r="62" spans="1:8" ht="19.5" customHeight="1">
      <c r="A62" s="114" t="s">
        <v>252</v>
      </c>
      <c r="B62" s="104">
        <v>1120</v>
      </c>
      <c r="C62" s="138" t="s">
        <v>215</v>
      </c>
      <c r="D62" s="134" t="s">
        <v>215</v>
      </c>
      <c r="E62" s="134" t="s">
        <v>215</v>
      </c>
      <c r="F62" s="134" t="e">
        <f t="shared" si="0"/>
        <v>#VALUE!</v>
      </c>
      <c r="G62" s="135" t="e">
        <f t="shared" si="1"/>
        <v>#VALUE!</v>
      </c>
      <c r="H62" s="155"/>
    </row>
    <row r="63" spans="1:8" ht="19.5" customHeight="1">
      <c r="A63" s="114" t="s">
        <v>253</v>
      </c>
      <c r="B63" s="104">
        <v>1130</v>
      </c>
      <c r="C63" s="138">
        <v>1</v>
      </c>
      <c r="D63" s="134">
        <v>2</v>
      </c>
      <c r="E63" s="134">
        <v>4</v>
      </c>
      <c r="F63" s="134">
        <f t="shared" si="0"/>
        <v>2</v>
      </c>
      <c r="G63" s="135">
        <f t="shared" si="1"/>
        <v>200</v>
      </c>
      <c r="H63" s="155"/>
    </row>
    <row r="64" spans="1:8" ht="19.5" customHeight="1">
      <c r="A64" s="114" t="s">
        <v>254</v>
      </c>
      <c r="B64" s="104">
        <v>1140</v>
      </c>
      <c r="C64" s="138">
        <v>-125</v>
      </c>
      <c r="D64" s="138">
        <v>-200</v>
      </c>
      <c r="E64" s="134">
        <v>-64</v>
      </c>
      <c r="F64" s="134">
        <f t="shared" si="0"/>
        <v>136</v>
      </c>
      <c r="G64" s="135">
        <f t="shared" si="1"/>
        <v>32</v>
      </c>
      <c r="H64" s="155" t="s">
        <v>206</v>
      </c>
    </row>
    <row r="65" spans="1:8" ht="19.5" customHeight="1">
      <c r="A65" s="114" t="s">
        <v>67</v>
      </c>
      <c r="B65" s="104">
        <v>1150</v>
      </c>
      <c r="C65" s="158">
        <f>SUM(C66:C67)</f>
        <v>6449</v>
      </c>
      <c r="D65" s="158">
        <f>SUM(D66:D67)</f>
        <v>6600</v>
      </c>
      <c r="E65" s="140">
        <f>SUM(E66:E67)</f>
        <v>3937</v>
      </c>
      <c r="F65" s="134">
        <f t="shared" si="0"/>
        <v>-2663</v>
      </c>
      <c r="G65" s="135">
        <f t="shared" si="1"/>
        <v>59.7</v>
      </c>
      <c r="H65" s="155" t="s">
        <v>206</v>
      </c>
    </row>
    <row r="66" spans="1:8" ht="19.5" customHeight="1">
      <c r="A66" s="114" t="s">
        <v>56</v>
      </c>
      <c r="B66" s="104">
        <v>1151</v>
      </c>
      <c r="C66" s="138"/>
      <c r="D66" s="138"/>
      <c r="E66" s="134"/>
      <c r="F66" s="134">
        <f t="shared" si="0"/>
        <v>0</v>
      </c>
      <c r="G66" s="135" t="e">
        <f t="shared" si="1"/>
        <v>#DIV/0!</v>
      </c>
      <c r="H66" s="155"/>
    </row>
    <row r="67" spans="1:8" ht="19.5" customHeight="1">
      <c r="A67" s="114" t="s">
        <v>255</v>
      </c>
      <c r="B67" s="104">
        <v>1152</v>
      </c>
      <c r="C67" s="138">
        <v>6449</v>
      </c>
      <c r="D67" s="138">
        <v>6600</v>
      </c>
      <c r="E67" s="134">
        <v>3937</v>
      </c>
      <c r="F67" s="134">
        <f t="shared" si="0"/>
        <v>-2663</v>
      </c>
      <c r="G67" s="135">
        <f t="shared" si="1"/>
        <v>59.7</v>
      </c>
      <c r="H67" s="155" t="s">
        <v>206</v>
      </c>
    </row>
    <row r="68" spans="1:8" ht="19.5" customHeight="1">
      <c r="A68" s="114" t="s">
        <v>68</v>
      </c>
      <c r="B68" s="104">
        <v>1160</v>
      </c>
      <c r="C68" s="158">
        <f>SUM(C69:C70)</f>
        <v>-248</v>
      </c>
      <c r="D68" s="158">
        <f>SUM(D69:D70)</f>
        <v>-500</v>
      </c>
      <c r="E68" s="140">
        <f>SUM(E69:E70)</f>
        <v>-38</v>
      </c>
      <c r="F68" s="134">
        <f t="shared" si="0"/>
        <v>462</v>
      </c>
      <c r="G68" s="135">
        <f t="shared" si="1"/>
        <v>7.6</v>
      </c>
      <c r="H68" s="155" t="s">
        <v>206</v>
      </c>
    </row>
    <row r="69" spans="1:8" ht="19.5" customHeight="1">
      <c r="A69" s="114" t="s">
        <v>56</v>
      </c>
      <c r="B69" s="104">
        <v>1161</v>
      </c>
      <c r="C69" s="138" t="s">
        <v>215</v>
      </c>
      <c r="D69" s="138" t="s">
        <v>215</v>
      </c>
      <c r="E69" s="134" t="s">
        <v>215</v>
      </c>
      <c r="F69" s="134" t="e">
        <f t="shared" si="0"/>
        <v>#VALUE!</v>
      </c>
      <c r="G69" s="135" t="e">
        <f t="shared" si="1"/>
        <v>#VALUE!</v>
      </c>
      <c r="H69" s="155"/>
    </row>
    <row r="70" spans="1:8" ht="19.5" customHeight="1">
      <c r="A70" s="114" t="s">
        <v>256</v>
      </c>
      <c r="B70" s="104">
        <v>1162</v>
      </c>
      <c r="C70" s="138">
        <v>-248</v>
      </c>
      <c r="D70" s="138">
        <v>-500</v>
      </c>
      <c r="E70" s="134">
        <v>-38</v>
      </c>
      <c r="F70" s="134">
        <f t="shared" si="0"/>
        <v>462</v>
      </c>
      <c r="G70" s="135">
        <f t="shared" si="1"/>
        <v>7.6</v>
      </c>
      <c r="H70" s="155" t="s">
        <v>206</v>
      </c>
    </row>
    <row r="71" spans="1:8" s="24" customFormat="1" ht="19.5" customHeight="1">
      <c r="A71" s="113" t="s">
        <v>69</v>
      </c>
      <c r="B71" s="120">
        <v>1170</v>
      </c>
      <c r="C71" s="117">
        <f>SUM(C60:C65,C68)</f>
        <v>17021</v>
      </c>
      <c r="D71" s="117">
        <f>SUM(D60:D65,D68)</f>
        <v>23490</v>
      </c>
      <c r="E71" s="117">
        <f>SUM(E60:E65,E68)</f>
        <v>27856</v>
      </c>
      <c r="F71" s="132">
        <f t="shared" si="0"/>
        <v>4366</v>
      </c>
      <c r="G71" s="133">
        <f t="shared" si="1"/>
        <v>118.6</v>
      </c>
      <c r="H71" s="157"/>
    </row>
    <row r="72" spans="1:8" ht="19.5" customHeight="1">
      <c r="A72" s="114" t="s">
        <v>70</v>
      </c>
      <c r="B72" s="103">
        <v>1180</v>
      </c>
      <c r="C72" s="134">
        <v>-407</v>
      </c>
      <c r="D72" s="138">
        <v>-4228</v>
      </c>
      <c r="E72" s="134">
        <v>-7361</v>
      </c>
      <c r="F72" s="134">
        <f t="shared" si="0"/>
        <v>-3133</v>
      </c>
      <c r="G72" s="135">
        <f t="shared" si="1"/>
        <v>174.1</v>
      </c>
      <c r="H72" s="155"/>
    </row>
    <row r="73" spans="1:8" ht="19.5" customHeight="1">
      <c r="A73" s="114" t="s">
        <v>71</v>
      </c>
      <c r="B73" s="103">
        <v>1181</v>
      </c>
      <c r="C73" s="134"/>
      <c r="D73" s="134"/>
      <c r="E73" s="134"/>
      <c r="F73" s="134">
        <f t="shared" si="0"/>
        <v>0</v>
      </c>
      <c r="G73" s="135" t="e">
        <f t="shared" si="1"/>
        <v>#DIV/0!</v>
      </c>
      <c r="H73" s="155"/>
    </row>
    <row r="74" spans="1:8" ht="37.5">
      <c r="A74" s="114" t="s">
        <v>72</v>
      </c>
      <c r="B74" s="104">
        <v>1190</v>
      </c>
      <c r="C74" s="134"/>
      <c r="D74" s="134"/>
      <c r="E74" s="134"/>
      <c r="F74" s="134">
        <f t="shared" si="0"/>
        <v>0</v>
      </c>
      <c r="G74" s="135" t="e">
        <f t="shared" si="1"/>
        <v>#DIV/0!</v>
      </c>
      <c r="H74" s="155"/>
    </row>
    <row r="75" spans="1:8" ht="27.75" customHeight="1">
      <c r="A75" s="114" t="s">
        <v>73</v>
      </c>
      <c r="B75" s="104">
        <v>1191</v>
      </c>
      <c r="C75" s="134" t="s">
        <v>215</v>
      </c>
      <c r="D75" s="134" t="s">
        <v>215</v>
      </c>
      <c r="E75" s="134" t="s">
        <v>215</v>
      </c>
      <c r="F75" s="134" t="e">
        <f t="shared" si="0"/>
        <v>#VALUE!</v>
      </c>
      <c r="G75" s="135" t="e">
        <f t="shared" si="1"/>
        <v>#VALUE!</v>
      </c>
      <c r="H75" s="155"/>
    </row>
    <row r="76" spans="1:8" s="24" customFormat="1" ht="19.5" customHeight="1">
      <c r="A76" s="113" t="s">
        <v>257</v>
      </c>
      <c r="B76" s="120">
        <v>1200</v>
      </c>
      <c r="C76" s="117">
        <f>SUM(C71:C75)</f>
        <v>16614</v>
      </c>
      <c r="D76" s="117">
        <f>SUM(D71:D75)</f>
        <v>19262</v>
      </c>
      <c r="E76" s="117">
        <f>SUM(E71:E75)</f>
        <v>20495</v>
      </c>
      <c r="F76" s="132">
        <f t="shared" si="0"/>
        <v>1233</v>
      </c>
      <c r="G76" s="133">
        <f t="shared" si="1"/>
        <v>106.4</v>
      </c>
      <c r="H76" s="157" t="s">
        <v>543</v>
      </c>
    </row>
    <row r="77" spans="1:8" ht="19.5" customHeight="1">
      <c r="A77" s="114" t="s">
        <v>258</v>
      </c>
      <c r="B77" s="104">
        <v>1201</v>
      </c>
      <c r="C77" s="134">
        <f>C76</f>
        <v>16614</v>
      </c>
      <c r="D77" s="134">
        <f>D76</f>
        <v>19262</v>
      </c>
      <c r="E77" s="134">
        <f>E76</f>
        <v>20495</v>
      </c>
      <c r="F77" s="134">
        <f t="shared" si="0"/>
        <v>1233</v>
      </c>
      <c r="G77" s="135">
        <f t="shared" si="1"/>
        <v>106.4</v>
      </c>
      <c r="H77" s="155"/>
    </row>
    <row r="78" spans="1:8" ht="19.5" customHeight="1">
      <c r="A78" s="114" t="s">
        <v>259</v>
      </c>
      <c r="B78" s="104">
        <v>1202</v>
      </c>
      <c r="C78" s="134" t="s">
        <v>215</v>
      </c>
      <c r="D78" s="134" t="s">
        <v>215</v>
      </c>
      <c r="E78" s="134" t="s">
        <v>215</v>
      </c>
      <c r="F78" s="134" t="e">
        <f t="shared" si="0"/>
        <v>#VALUE!</v>
      </c>
      <c r="G78" s="135" t="e">
        <f t="shared" si="1"/>
        <v>#VALUE!</v>
      </c>
      <c r="H78" s="155"/>
    </row>
    <row r="79" spans="1:8" s="24" customFormat="1" ht="19.5" customHeight="1">
      <c r="A79" s="113" t="s">
        <v>77</v>
      </c>
      <c r="B79" s="120">
        <v>1210</v>
      </c>
      <c r="C79" s="160">
        <f>SUM(C7,C49,C61,C63,C65,C73,C74)</f>
        <v>243736</v>
      </c>
      <c r="D79" s="160">
        <f>SUM(D7,D49,D61,D63,D65,D73,D74)</f>
        <v>313712</v>
      </c>
      <c r="E79" s="160">
        <f>SUM(E7,E49,E61,E63,E65,E73,E74)</f>
        <v>304555</v>
      </c>
      <c r="F79" s="132">
        <f t="shared" si="0"/>
        <v>-9157</v>
      </c>
      <c r="G79" s="133">
        <f t="shared" si="1"/>
        <v>97.1</v>
      </c>
      <c r="H79" s="157"/>
    </row>
    <row r="80" spans="1:8" s="24" customFormat="1" ht="19.5" customHeight="1">
      <c r="A80" s="113" t="s">
        <v>78</v>
      </c>
      <c r="B80" s="120">
        <v>1220</v>
      </c>
      <c r="C80" s="160">
        <f>SUM(C8,C18,C41,C53,C62,C64,C68,C72,C75)</f>
        <v>-227122</v>
      </c>
      <c r="D80" s="160">
        <f>SUM(D8,D18,D41,D53,D62,D64,D68,D72,D75)</f>
        <v>-294450</v>
      </c>
      <c r="E80" s="160">
        <f>SUM(E8,E18,E41,E53,E62,E64,E68,E72,E75)</f>
        <v>-284060</v>
      </c>
      <c r="F80" s="132">
        <f t="shared" si="0"/>
        <v>10390</v>
      </c>
      <c r="G80" s="133">
        <f t="shared" si="1"/>
        <v>96.5</v>
      </c>
      <c r="H80" s="157"/>
    </row>
    <row r="81" spans="1:8" ht="19.5" customHeight="1">
      <c r="A81" s="114" t="s">
        <v>79</v>
      </c>
      <c r="B81" s="104">
        <v>1230</v>
      </c>
      <c r="C81" s="134"/>
      <c r="D81" s="134"/>
      <c r="E81" s="134"/>
      <c r="F81" s="134">
        <f t="shared" si="0"/>
        <v>0</v>
      </c>
      <c r="G81" s="135" t="e">
        <f t="shared" si="1"/>
        <v>#DIV/0!</v>
      </c>
      <c r="H81" s="155"/>
    </row>
    <row r="82" spans="1:8" ht="24.75" customHeight="1">
      <c r="A82" s="356" t="s">
        <v>260</v>
      </c>
      <c r="B82" s="356"/>
      <c r="C82" s="356"/>
      <c r="D82" s="356"/>
      <c r="E82" s="356"/>
      <c r="F82" s="356"/>
      <c r="G82" s="356"/>
      <c r="H82" s="356"/>
    </row>
    <row r="83" spans="1:8" ht="37.5">
      <c r="A83" s="114" t="s">
        <v>261</v>
      </c>
      <c r="B83" s="104">
        <v>1300</v>
      </c>
      <c r="C83" s="134">
        <f>C60</f>
        <v>10944</v>
      </c>
      <c r="D83" s="134">
        <f>D60</f>
        <v>17588</v>
      </c>
      <c r="E83" s="134">
        <f>E60</f>
        <v>24017</v>
      </c>
      <c r="F83" s="134">
        <f aca="true" t="shared" si="2" ref="F83:F89">E83-D83</f>
        <v>6429</v>
      </c>
      <c r="G83" s="135">
        <f aca="true" t="shared" si="3" ref="G83:G89">(E83/D83)*100</f>
        <v>136.6</v>
      </c>
      <c r="H83" s="155"/>
    </row>
    <row r="84" spans="1:8" ht="18.75">
      <c r="A84" s="114" t="s">
        <v>262</v>
      </c>
      <c r="B84" s="104">
        <v>1301</v>
      </c>
      <c r="C84" s="134">
        <f>C96</f>
        <v>20003</v>
      </c>
      <c r="D84" s="134">
        <f>D96</f>
        <v>23220</v>
      </c>
      <c r="E84" s="134">
        <f>E96</f>
        <v>17091</v>
      </c>
      <c r="F84" s="134">
        <f t="shared" si="2"/>
        <v>-6129</v>
      </c>
      <c r="G84" s="135">
        <f t="shared" si="3"/>
        <v>73.6</v>
      </c>
      <c r="H84" s="155"/>
    </row>
    <row r="85" spans="1:8" ht="33.75" customHeight="1">
      <c r="A85" s="114" t="s">
        <v>263</v>
      </c>
      <c r="B85" s="104">
        <v>1302</v>
      </c>
      <c r="C85" s="134">
        <f>C50</f>
        <v>0</v>
      </c>
      <c r="D85" s="134">
        <f>D50</f>
        <v>0</v>
      </c>
      <c r="E85" s="134">
        <f>E50</f>
        <v>0</v>
      </c>
      <c r="F85" s="134">
        <f t="shared" si="2"/>
        <v>0</v>
      </c>
      <c r="G85" s="135" t="e">
        <f t="shared" si="3"/>
        <v>#DIV/0!</v>
      </c>
      <c r="H85" s="155"/>
    </row>
    <row r="86" spans="1:8" ht="30.75" customHeight="1">
      <c r="A86" s="114" t="s">
        <v>264</v>
      </c>
      <c r="B86" s="104">
        <v>1303</v>
      </c>
      <c r="C86" s="134">
        <f>C54</f>
        <v>0</v>
      </c>
      <c r="D86" s="134">
        <f>D54</f>
        <v>0</v>
      </c>
      <c r="E86" s="134">
        <f>E54</f>
        <v>0</v>
      </c>
      <c r="F86" s="134">
        <f t="shared" si="2"/>
        <v>0</v>
      </c>
      <c r="G86" s="135" t="e">
        <f t="shared" si="3"/>
        <v>#DIV/0!</v>
      </c>
      <c r="H86" s="155"/>
    </row>
    <row r="87" spans="1:8" ht="21" customHeight="1">
      <c r="A87" s="114" t="s">
        <v>265</v>
      </c>
      <c r="B87" s="104">
        <v>1304</v>
      </c>
      <c r="C87" s="134">
        <f>C51</f>
        <v>0</v>
      </c>
      <c r="D87" s="134">
        <f>D51</f>
        <v>0</v>
      </c>
      <c r="E87" s="134">
        <f>E51</f>
        <v>0</v>
      </c>
      <c r="F87" s="134">
        <f t="shared" si="2"/>
        <v>0</v>
      </c>
      <c r="G87" s="135" t="e">
        <f t="shared" si="3"/>
        <v>#DIV/0!</v>
      </c>
      <c r="H87" s="155"/>
    </row>
    <row r="88" spans="1:8" ht="18.75">
      <c r="A88" s="114" t="s">
        <v>266</v>
      </c>
      <c r="B88" s="104">
        <v>1305</v>
      </c>
      <c r="C88" s="134">
        <f>C55</f>
        <v>0</v>
      </c>
      <c r="D88" s="134">
        <f>D55</f>
        <v>0</v>
      </c>
      <c r="E88" s="134">
        <f>E55</f>
        <v>0</v>
      </c>
      <c r="F88" s="134">
        <f t="shared" si="2"/>
        <v>0</v>
      </c>
      <c r="G88" s="135" t="e">
        <f t="shared" si="3"/>
        <v>#DIV/0!</v>
      </c>
      <c r="H88" s="155"/>
    </row>
    <row r="89" spans="1:8" s="24" customFormat="1" ht="19.5" customHeight="1">
      <c r="A89" s="113" t="s">
        <v>61</v>
      </c>
      <c r="B89" s="120">
        <v>1310</v>
      </c>
      <c r="C89" s="161">
        <f>C83+C84-C85-C86-C87-C88</f>
        <v>30947</v>
      </c>
      <c r="D89" s="161">
        <f>D83+D84-D85-D86-D87-D88</f>
        <v>40808</v>
      </c>
      <c r="E89" s="161">
        <f>E83+E84-E85-E86-E87-E88</f>
        <v>41108</v>
      </c>
      <c r="F89" s="132">
        <f t="shared" si="2"/>
        <v>300</v>
      </c>
      <c r="G89" s="133">
        <f t="shared" si="3"/>
        <v>100.7</v>
      </c>
      <c r="H89" s="157"/>
    </row>
    <row r="90" spans="1:8" s="24" customFormat="1" ht="19.5" customHeight="1">
      <c r="A90" s="342" t="s">
        <v>80</v>
      </c>
      <c r="B90" s="342"/>
      <c r="C90" s="342"/>
      <c r="D90" s="342"/>
      <c r="E90" s="342"/>
      <c r="F90" s="342"/>
      <c r="G90" s="342"/>
      <c r="H90" s="342"/>
    </row>
    <row r="91" spans="1:8" s="24" customFormat="1" ht="31.5" customHeight="1">
      <c r="A91" s="114" t="s">
        <v>81</v>
      </c>
      <c r="B91" s="104">
        <v>1400</v>
      </c>
      <c r="C91" s="134">
        <f>C92+C93</f>
        <v>85261</v>
      </c>
      <c r="D91" s="134">
        <f>D92+D93</f>
        <v>109420</v>
      </c>
      <c r="E91" s="134">
        <f>E92+E93</f>
        <v>114774</v>
      </c>
      <c r="F91" s="134">
        <f aca="true" t="shared" si="4" ref="F91:F98">E91-D91</f>
        <v>5354</v>
      </c>
      <c r="G91" s="135">
        <f aca="true" t="shared" si="5" ref="G91:G98">(E91/D91)*100</f>
        <v>104.9</v>
      </c>
      <c r="H91" s="155" t="s">
        <v>542</v>
      </c>
    </row>
    <row r="92" spans="1:8" s="24" customFormat="1" ht="25.5" customHeight="1">
      <c r="A92" s="114" t="s">
        <v>82</v>
      </c>
      <c r="B92" s="162">
        <v>1401</v>
      </c>
      <c r="C92" s="138">
        <v>17317</v>
      </c>
      <c r="D92" s="138">
        <v>28320</v>
      </c>
      <c r="E92" s="134">
        <v>27654</v>
      </c>
      <c r="F92" s="134">
        <f t="shared" si="4"/>
        <v>-666</v>
      </c>
      <c r="G92" s="135">
        <f t="shared" si="5"/>
        <v>97.6</v>
      </c>
      <c r="H92" s="155" t="s">
        <v>206</v>
      </c>
    </row>
    <row r="93" spans="1:8" s="24" customFormat="1" ht="27" customHeight="1">
      <c r="A93" s="114" t="s">
        <v>83</v>
      </c>
      <c r="B93" s="162">
        <v>1402</v>
      </c>
      <c r="C93" s="138">
        <v>67944</v>
      </c>
      <c r="D93" s="138">
        <v>81100</v>
      </c>
      <c r="E93" s="134">
        <v>87120</v>
      </c>
      <c r="F93" s="134">
        <f t="shared" si="4"/>
        <v>6020</v>
      </c>
      <c r="G93" s="135">
        <f t="shared" si="5"/>
        <v>107.4</v>
      </c>
      <c r="H93" s="155" t="s">
        <v>542</v>
      </c>
    </row>
    <row r="94" spans="1:8" s="24" customFormat="1" ht="19.5" customHeight="1">
      <c r="A94" s="114" t="s">
        <v>84</v>
      </c>
      <c r="B94" s="162">
        <v>1410</v>
      </c>
      <c r="C94" s="138">
        <v>75850</v>
      </c>
      <c r="D94" s="138">
        <v>95238</v>
      </c>
      <c r="E94" s="134">
        <v>94568</v>
      </c>
      <c r="F94" s="134">
        <f t="shared" si="4"/>
        <v>-670</v>
      </c>
      <c r="G94" s="135">
        <f t="shared" si="5"/>
        <v>99.3</v>
      </c>
      <c r="H94" s="155" t="s">
        <v>537</v>
      </c>
    </row>
    <row r="95" spans="1:8" s="24" customFormat="1" ht="19.5" customHeight="1">
      <c r="A95" s="114" t="s">
        <v>85</v>
      </c>
      <c r="B95" s="162">
        <v>1420</v>
      </c>
      <c r="C95" s="138">
        <v>16614</v>
      </c>
      <c r="D95" s="138">
        <v>21000</v>
      </c>
      <c r="E95" s="134">
        <v>20736</v>
      </c>
      <c r="F95" s="134">
        <f t="shared" si="4"/>
        <v>-264</v>
      </c>
      <c r="G95" s="135">
        <f t="shared" si="5"/>
        <v>98.7</v>
      </c>
      <c r="H95" s="155" t="s">
        <v>537</v>
      </c>
    </row>
    <row r="96" spans="1:8" s="24" customFormat="1" ht="19.5" customHeight="1">
      <c r="A96" s="114" t="s">
        <v>86</v>
      </c>
      <c r="B96" s="162">
        <v>1430</v>
      </c>
      <c r="C96" s="138">
        <v>20003</v>
      </c>
      <c r="D96" s="138">
        <v>23220</v>
      </c>
      <c r="E96" s="134">
        <v>17091</v>
      </c>
      <c r="F96" s="134">
        <f t="shared" si="4"/>
        <v>-6129</v>
      </c>
      <c r="G96" s="135">
        <f t="shared" si="5"/>
        <v>73.6</v>
      </c>
      <c r="H96" s="155" t="s">
        <v>206</v>
      </c>
    </row>
    <row r="97" spans="1:8" s="24" customFormat="1" ht="19.5" customHeight="1">
      <c r="A97" s="114" t="s">
        <v>87</v>
      </c>
      <c r="B97" s="162">
        <v>1440</v>
      </c>
      <c r="C97" s="138">
        <v>28614</v>
      </c>
      <c r="D97" s="138">
        <v>40644</v>
      </c>
      <c r="E97" s="134">
        <v>29428</v>
      </c>
      <c r="F97" s="134">
        <f t="shared" si="4"/>
        <v>-11216</v>
      </c>
      <c r="G97" s="135">
        <f t="shared" si="5"/>
        <v>72.4</v>
      </c>
      <c r="H97" s="155" t="s">
        <v>206</v>
      </c>
    </row>
    <row r="98" spans="1:8" s="24" customFormat="1" ht="18.75">
      <c r="A98" s="113" t="s">
        <v>88</v>
      </c>
      <c r="B98" s="163">
        <v>1450</v>
      </c>
      <c r="C98" s="153">
        <f>SUM(C91,C94:C97)</f>
        <v>226342</v>
      </c>
      <c r="D98" s="153">
        <f>SUM(D91,D94:D97)</f>
        <v>289522</v>
      </c>
      <c r="E98" s="153">
        <f>SUM(E91,E94:E97)</f>
        <v>276597</v>
      </c>
      <c r="F98" s="132">
        <f t="shared" si="4"/>
        <v>-12925</v>
      </c>
      <c r="G98" s="133">
        <f t="shared" si="5"/>
        <v>95.5</v>
      </c>
      <c r="H98" s="157"/>
    </row>
    <row r="99" spans="1:8" s="24" customFormat="1" ht="18.75">
      <c r="A99" s="39"/>
      <c r="B99" s="40"/>
      <c r="C99" s="40"/>
      <c r="D99" s="40"/>
      <c r="E99" s="40"/>
      <c r="F99" s="41"/>
      <c r="G99" s="41"/>
      <c r="H99" s="40"/>
    </row>
    <row r="100" spans="1:8" s="24" customFormat="1" ht="18.75">
      <c r="A100" s="39"/>
      <c r="B100" s="40"/>
      <c r="C100" s="40"/>
      <c r="D100" s="40"/>
      <c r="E100" s="40"/>
      <c r="F100" s="41"/>
      <c r="G100" s="41"/>
      <c r="H100" s="40"/>
    </row>
    <row r="101" spans="1:8" s="24" customFormat="1" ht="18.75">
      <c r="A101" s="39"/>
      <c r="B101" s="40"/>
      <c r="C101" s="40"/>
      <c r="D101" s="40"/>
      <c r="E101" s="40"/>
      <c r="F101" s="41"/>
      <c r="G101" s="41"/>
      <c r="H101" s="40"/>
    </row>
    <row r="102" spans="1:8" s="24" customFormat="1" ht="18.75">
      <c r="A102" s="39"/>
      <c r="B102" s="40"/>
      <c r="C102" s="40"/>
      <c r="D102" s="40"/>
      <c r="E102" s="40"/>
      <c r="F102" s="41"/>
      <c r="G102" s="41"/>
      <c r="H102" s="40"/>
    </row>
    <row r="103" spans="1:8" ht="18.75">
      <c r="A103" s="6"/>
      <c r="C103" s="22"/>
      <c r="D103" s="22"/>
      <c r="E103" s="22"/>
      <c r="F103" s="42"/>
      <c r="G103" s="42"/>
      <c r="H103" s="22"/>
    </row>
    <row r="104" spans="1:8" ht="27.75" customHeight="1">
      <c r="A104" s="30" t="s">
        <v>267</v>
      </c>
      <c r="C104" s="340" t="s">
        <v>268</v>
      </c>
      <c r="D104" s="340"/>
      <c r="E104" s="43"/>
      <c r="F104" s="44"/>
      <c r="G104" s="341" t="s">
        <v>196</v>
      </c>
      <c r="H104" s="341"/>
    </row>
    <row r="105" spans="1:9" s="34" customFormat="1" ht="18" customHeight="1">
      <c r="A105" s="32" t="s">
        <v>197</v>
      </c>
      <c r="B105" s="24"/>
      <c r="C105" s="45" t="s">
        <v>269</v>
      </c>
      <c r="D105" s="24"/>
      <c r="E105" s="43"/>
      <c r="F105" s="44"/>
      <c r="G105" s="335" t="s">
        <v>270</v>
      </c>
      <c r="H105" s="335"/>
      <c r="I105" s="22"/>
    </row>
  </sheetData>
  <sheetProtection selectLockedCells="1" selectUnlockedCells="1"/>
  <mergeCells count="11">
    <mergeCell ref="A6:H6"/>
    <mergeCell ref="A82:H82"/>
    <mergeCell ref="A90:H90"/>
    <mergeCell ref="C104:D104"/>
    <mergeCell ref="G104:H104"/>
    <mergeCell ref="G105:H105"/>
    <mergeCell ref="A1:H1"/>
    <mergeCell ref="A3:A4"/>
    <mergeCell ref="B3:B4"/>
    <mergeCell ref="C3:C4"/>
    <mergeCell ref="D3:H3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77" r:id="rId1"/>
  <rowBreaks count="4" manualBreakCount="4">
    <brk id="22" max="7" man="1"/>
    <brk id="40" max="7" man="1"/>
    <brk id="67" max="255" man="1"/>
    <brk id="8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53"/>
  <sheetViews>
    <sheetView view="pageBreakPreview" zoomScaleNormal="83" zoomScaleSheetLayoutView="100" zoomScalePageLayoutView="0" workbookViewId="0" topLeftCell="A55">
      <selection activeCell="E49" sqref="E49"/>
    </sheetView>
  </sheetViews>
  <sheetFormatPr defaultColWidth="8.625" defaultRowHeight="12.75"/>
  <cols>
    <col min="1" max="1" width="82.125" style="46" customWidth="1"/>
    <col min="2" max="2" width="10.00390625" style="47" customWidth="1"/>
    <col min="3" max="3" width="17.375" style="47" customWidth="1"/>
    <col min="4" max="5" width="15.375" style="47" customWidth="1"/>
    <col min="6" max="6" width="14.375" style="47" customWidth="1"/>
    <col min="7" max="7" width="14.00390625" style="47" customWidth="1"/>
    <col min="8" max="9" width="9.375" style="46" customWidth="1"/>
    <col min="10" max="16384" width="8.625" style="46" customWidth="1"/>
  </cols>
  <sheetData>
    <row r="1" spans="1:7" ht="18.75">
      <c r="A1" s="362" t="s">
        <v>89</v>
      </c>
      <c r="B1" s="362"/>
      <c r="C1" s="362"/>
      <c r="D1" s="362"/>
      <c r="E1" s="362"/>
      <c r="F1" s="362"/>
      <c r="G1" s="362"/>
    </row>
    <row r="2" spans="1:7" ht="10.5" customHeight="1">
      <c r="A2" s="362"/>
      <c r="B2" s="362"/>
      <c r="C2" s="362"/>
      <c r="D2" s="362"/>
      <c r="E2" s="362"/>
      <c r="F2" s="362"/>
      <c r="G2" s="362"/>
    </row>
    <row r="3" spans="1:7" ht="38.25" customHeight="1">
      <c r="A3" s="363" t="s">
        <v>36</v>
      </c>
      <c r="B3" s="364" t="s">
        <v>37</v>
      </c>
      <c r="C3" s="358" t="s">
        <v>38</v>
      </c>
      <c r="D3" s="345" t="s">
        <v>200</v>
      </c>
      <c r="E3" s="345"/>
      <c r="F3" s="345"/>
      <c r="G3" s="345"/>
    </row>
    <row r="4" spans="1:7" ht="37.5">
      <c r="A4" s="363"/>
      <c r="B4" s="364"/>
      <c r="C4" s="358"/>
      <c r="D4" s="189" t="s">
        <v>40</v>
      </c>
      <c r="E4" s="190" t="s">
        <v>41</v>
      </c>
      <c r="F4" s="103" t="s">
        <v>42</v>
      </c>
      <c r="G4" s="103" t="s">
        <v>43</v>
      </c>
    </row>
    <row r="5" spans="1:7" ht="18.75">
      <c r="A5" s="146">
        <v>1</v>
      </c>
      <c r="B5" s="147">
        <v>2</v>
      </c>
      <c r="C5" s="146">
        <v>3</v>
      </c>
      <c r="D5" s="146">
        <v>4</v>
      </c>
      <c r="E5" s="147">
        <v>5</v>
      </c>
      <c r="F5" s="146">
        <v>6</v>
      </c>
      <c r="G5" s="147">
        <v>7</v>
      </c>
    </row>
    <row r="6" spans="1:7" ht="18.75" customHeight="1">
      <c r="A6" s="361" t="s">
        <v>90</v>
      </c>
      <c r="B6" s="361"/>
      <c r="C6" s="361"/>
      <c r="D6" s="361"/>
      <c r="E6" s="361"/>
      <c r="F6" s="361"/>
      <c r="G6" s="361"/>
    </row>
    <row r="7" spans="1:7" ht="18.75">
      <c r="A7" s="144" t="s">
        <v>74</v>
      </c>
      <c r="B7" s="147">
        <v>1200</v>
      </c>
      <c r="C7" s="148">
        <f>'I. Фін результат'!C76</f>
        <v>16614</v>
      </c>
      <c r="D7" s="149">
        <f>'I. Фін результат'!D76</f>
        <v>19262</v>
      </c>
      <c r="E7" s="149">
        <f>'I. Фін результат'!E76</f>
        <v>20495</v>
      </c>
      <c r="F7" s="150">
        <f aca="true" t="shared" si="0" ref="F7:F19">E7-D7</f>
        <v>1233</v>
      </c>
      <c r="G7" s="304">
        <f aca="true" t="shared" si="1" ref="G7:G19">(E7/D7)*100</f>
        <v>106.4</v>
      </c>
    </row>
    <row r="8" spans="1:7" ht="37.5">
      <c r="A8" s="144" t="s">
        <v>91</v>
      </c>
      <c r="B8" s="104">
        <v>2000</v>
      </c>
      <c r="C8" s="134">
        <v>-52756</v>
      </c>
      <c r="D8" s="134">
        <v>-49647</v>
      </c>
      <c r="E8" s="134">
        <v>-37918</v>
      </c>
      <c r="F8" s="150">
        <f t="shared" si="0"/>
        <v>11729</v>
      </c>
      <c r="G8" s="304">
        <f t="shared" si="1"/>
        <v>76.4</v>
      </c>
    </row>
    <row r="9" spans="1:7" ht="37.5">
      <c r="A9" s="144" t="s">
        <v>92</v>
      </c>
      <c r="B9" s="104">
        <v>2010</v>
      </c>
      <c r="C9" s="140">
        <f>SUM(C10:C11)</f>
        <v>-498</v>
      </c>
      <c r="D9" s="140">
        <f>SUM(D10:D11)</f>
        <v>-578</v>
      </c>
      <c r="E9" s="140">
        <f>SUM(E10:E11)</f>
        <v>-615</v>
      </c>
      <c r="F9" s="150">
        <f t="shared" si="0"/>
        <v>-37</v>
      </c>
      <c r="G9" s="304">
        <f t="shared" si="1"/>
        <v>106.4</v>
      </c>
    </row>
    <row r="10" spans="1:7" ht="37.5">
      <c r="A10" s="114" t="s">
        <v>93</v>
      </c>
      <c r="B10" s="104">
        <v>2011</v>
      </c>
      <c r="C10" s="138">
        <v>-498</v>
      </c>
      <c r="D10" s="134">
        <v>-578</v>
      </c>
      <c r="E10" s="134">
        <v>-615</v>
      </c>
      <c r="F10" s="150">
        <f t="shared" si="0"/>
        <v>-37</v>
      </c>
      <c r="G10" s="304">
        <f t="shared" si="1"/>
        <v>106.4</v>
      </c>
    </row>
    <row r="11" spans="1:7" ht="37.5" customHeight="1">
      <c r="A11" s="114" t="s">
        <v>94</v>
      </c>
      <c r="B11" s="104">
        <v>2012</v>
      </c>
      <c r="C11" s="134" t="s">
        <v>215</v>
      </c>
      <c r="D11" s="134" t="s">
        <v>215</v>
      </c>
      <c r="E11" s="134" t="s">
        <v>215</v>
      </c>
      <c r="F11" s="150" t="e">
        <f t="shared" si="0"/>
        <v>#VALUE!</v>
      </c>
      <c r="G11" s="151" t="e">
        <f t="shared" si="1"/>
        <v>#VALUE!</v>
      </c>
    </row>
    <row r="12" spans="1:7" ht="18.75">
      <c r="A12" s="114" t="s">
        <v>95</v>
      </c>
      <c r="B12" s="104" t="s">
        <v>96</v>
      </c>
      <c r="C12" s="134" t="s">
        <v>215</v>
      </c>
      <c r="D12" s="134" t="s">
        <v>215</v>
      </c>
      <c r="E12" s="134" t="s">
        <v>215</v>
      </c>
      <c r="F12" s="150" t="e">
        <f t="shared" si="0"/>
        <v>#VALUE!</v>
      </c>
      <c r="G12" s="151" t="e">
        <f t="shared" si="1"/>
        <v>#VALUE!</v>
      </c>
    </row>
    <row r="13" spans="1:7" ht="18.75">
      <c r="A13" s="114" t="s">
        <v>97</v>
      </c>
      <c r="B13" s="104">
        <v>2020</v>
      </c>
      <c r="C13" s="134"/>
      <c r="D13" s="134"/>
      <c r="E13" s="134"/>
      <c r="F13" s="150">
        <f t="shared" si="0"/>
        <v>0</v>
      </c>
      <c r="G13" s="151" t="e">
        <f t="shared" si="1"/>
        <v>#DIV/0!</v>
      </c>
    </row>
    <row r="14" spans="1:7" s="49" customFormat="1" ht="18.75">
      <c r="A14" s="144" t="s">
        <v>98</v>
      </c>
      <c r="B14" s="104">
        <v>2030</v>
      </c>
      <c r="C14" s="134" t="s">
        <v>215</v>
      </c>
      <c r="D14" s="134" t="s">
        <v>215</v>
      </c>
      <c r="E14" s="134" t="s">
        <v>215</v>
      </c>
      <c r="F14" s="150" t="e">
        <f t="shared" si="0"/>
        <v>#VALUE!</v>
      </c>
      <c r="G14" s="151" t="e">
        <f t="shared" si="1"/>
        <v>#VALUE!</v>
      </c>
    </row>
    <row r="15" spans="1:7" ht="18.75">
      <c r="A15" s="144" t="s">
        <v>271</v>
      </c>
      <c r="B15" s="104">
        <v>2031</v>
      </c>
      <c r="C15" s="134" t="s">
        <v>215</v>
      </c>
      <c r="D15" s="134" t="s">
        <v>215</v>
      </c>
      <c r="E15" s="134" t="s">
        <v>215</v>
      </c>
      <c r="F15" s="150" t="e">
        <f t="shared" si="0"/>
        <v>#VALUE!</v>
      </c>
      <c r="G15" s="151" t="e">
        <f t="shared" si="1"/>
        <v>#VALUE!</v>
      </c>
    </row>
    <row r="16" spans="1:7" ht="18.75">
      <c r="A16" s="144" t="s">
        <v>99</v>
      </c>
      <c r="B16" s="104">
        <v>2040</v>
      </c>
      <c r="C16" s="134" t="s">
        <v>215</v>
      </c>
      <c r="D16" s="134" t="s">
        <v>215</v>
      </c>
      <c r="E16" s="134" t="s">
        <v>215</v>
      </c>
      <c r="F16" s="150" t="e">
        <f t="shared" si="0"/>
        <v>#VALUE!</v>
      </c>
      <c r="G16" s="151" t="e">
        <f t="shared" si="1"/>
        <v>#VALUE!</v>
      </c>
    </row>
    <row r="17" spans="1:7" ht="18.75">
      <c r="A17" s="144" t="s">
        <v>272</v>
      </c>
      <c r="B17" s="104">
        <v>2050</v>
      </c>
      <c r="C17" s="134" t="s">
        <v>215</v>
      </c>
      <c r="D17" s="134" t="s">
        <v>215</v>
      </c>
      <c r="E17" s="134" t="s">
        <v>215</v>
      </c>
      <c r="F17" s="150" t="e">
        <f t="shared" si="0"/>
        <v>#VALUE!</v>
      </c>
      <c r="G17" s="151" t="e">
        <f t="shared" si="1"/>
        <v>#VALUE!</v>
      </c>
    </row>
    <row r="18" spans="1:7" ht="18.75">
      <c r="A18" s="144" t="s">
        <v>273</v>
      </c>
      <c r="B18" s="104">
        <v>2060</v>
      </c>
      <c r="C18" s="134" t="s">
        <v>215</v>
      </c>
      <c r="D18" s="134" t="s">
        <v>215</v>
      </c>
      <c r="E18" s="134">
        <v>-133</v>
      </c>
      <c r="F18" s="150" t="e">
        <f t="shared" si="0"/>
        <v>#VALUE!</v>
      </c>
      <c r="G18" s="151" t="e">
        <f t="shared" si="1"/>
        <v>#VALUE!</v>
      </c>
    </row>
    <row r="19" spans="1:7" ht="37.5">
      <c r="A19" s="144" t="s">
        <v>102</v>
      </c>
      <c r="B19" s="104">
        <v>2070</v>
      </c>
      <c r="C19" s="181">
        <v>-37918</v>
      </c>
      <c r="D19" s="182">
        <f>D8+D7+D9</f>
        <v>-30963</v>
      </c>
      <c r="E19" s="182">
        <f>E8+E7+E9+E18</f>
        <v>-18171</v>
      </c>
      <c r="F19" s="150">
        <f t="shared" si="0"/>
        <v>12792</v>
      </c>
      <c r="G19" s="304">
        <f t="shared" si="1"/>
        <v>58.7</v>
      </c>
    </row>
    <row r="20" spans="1:7" ht="18.75" customHeight="1">
      <c r="A20" s="361" t="s">
        <v>103</v>
      </c>
      <c r="B20" s="361"/>
      <c r="C20" s="361"/>
      <c r="D20" s="361"/>
      <c r="E20" s="361"/>
      <c r="F20" s="361"/>
      <c r="G20" s="361"/>
    </row>
    <row r="21" spans="1:7" s="49" customFormat="1" ht="37.5">
      <c r="A21" s="141" t="s">
        <v>104</v>
      </c>
      <c r="B21" s="120">
        <v>2110</v>
      </c>
      <c r="C21" s="117">
        <f>SUM(C22:C30)</f>
        <v>23576</v>
      </c>
      <c r="D21" s="117">
        <f>SUM(D22:D30)</f>
        <v>25226</v>
      </c>
      <c r="E21" s="117">
        <f>SUM(E22:E30)</f>
        <v>40472</v>
      </c>
      <c r="F21" s="132">
        <f aca="true" t="shared" si="2" ref="F21:F50">E21-D21</f>
        <v>15246</v>
      </c>
      <c r="G21" s="133">
        <f aca="true" t="shared" si="3" ref="G21:G50">(E21/D21)*100</f>
        <v>160.4</v>
      </c>
    </row>
    <row r="22" spans="1:7" ht="18.75">
      <c r="A22" s="114" t="s">
        <v>105</v>
      </c>
      <c r="B22" s="104">
        <v>2111</v>
      </c>
      <c r="C22" s="138"/>
      <c r="D22" s="134"/>
      <c r="E22" s="134"/>
      <c r="F22" s="134">
        <f t="shared" si="2"/>
        <v>0</v>
      </c>
      <c r="G22" s="135" t="e">
        <f t="shared" si="3"/>
        <v>#DIV/0!</v>
      </c>
    </row>
    <row r="23" spans="1:7" ht="22.5" customHeight="1">
      <c r="A23" s="114" t="s">
        <v>106</v>
      </c>
      <c r="B23" s="104">
        <v>2112</v>
      </c>
      <c r="C23" s="138">
        <v>13254</v>
      </c>
      <c r="D23" s="134">
        <v>12800</v>
      </c>
      <c r="E23" s="134">
        <v>25087</v>
      </c>
      <c r="F23" s="134">
        <f t="shared" si="2"/>
        <v>12287</v>
      </c>
      <c r="G23" s="135">
        <f t="shared" si="3"/>
        <v>196</v>
      </c>
    </row>
    <row r="24" spans="1:7" s="49" customFormat="1" ht="37.5">
      <c r="A24" s="144" t="s">
        <v>107</v>
      </c>
      <c r="B24" s="146">
        <v>2113</v>
      </c>
      <c r="C24" s="138" t="s">
        <v>215</v>
      </c>
      <c r="D24" s="134" t="s">
        <v>215</v>
      </c>
      <c r="E24" s="134" t="s">
        <v>215</v>
      </c>
      <c r="F24" s="134" t="e">
        <f t="shared" si="2"/>
        <v>#VALUE!</v>
      </c>
      <c r="G24" s="135" t="e">
        <f t="shared" si="3"/>
        <v>#VALUE!</v>
      </c>
    </row>
    <row r="25" spans="1:7" ht="18.75">
      <c r="A25" s="144" t="s">
        <v>108</v>
      </c>
      <c r="B25" s="146">
        <v>2114</v>
      </c>
      <c r="C25" s="138"/>
      <c r="D25" s="134"/>
      <c r="E25" s="134"/>
      <c r="F25" s="134">
        <f t="shared" si="2"/>
        <v>0</v>
      </c>
      <c r="G25" s="135" t="e">
        <f t="shared" si="3"/>
        <v>#DIV/0!</v>
      </c>
    </row>
    <row r="26" spans="1:7" ht="37.5">
      <c r="A26" s="144" t="s">
        <v>109</v>
      </c>
      <c r="B26" s="146">
        <v>2115</v>
      </c>
      <c r="C26" s="138"/>
      <c r="D26" s="134"/>
      <c r="E26" s="134"/>
      <c r="F26" s="134">
        <f t="shared" si="2"/>
        <v>0</v>
      </c>
      <c r="G26" s="135" t="e">
        <f t="shared" si="3"/>
        <v>#DIV/0!</v>
      </c>
    </row>
    <row r="27" spans="1:8" s="48" customFormat="1" ht="18.75">
      <c r="A27" s="144" t="s">
        <v>274</v>
      </c>
      <c r="B27" s="146">
        <v>2116</v>
      </c>
      <c r="C27" s="138">
        <v>1808</v>
      </c>
      <c r="D27" s="134">
        <v>2100</v>
      </c>
      <c r="E27" s="134">
        <v>2447</v>
      </c>
      <c r="F27" s="134">
        <f t="shared" si="2"/>
        <v>347</v>
      </c>
      <c r="G27" s="135">
        <f t="shared" si="3"/>
        <v>116.5</v>
      </c>
      <c r="H27" s="46"/>
    </row>
    <row r="28" spans="1:7" ht="19.5" customHeight="1">
      <c r="A28" s="144" t="s">
        <v>111</v>
      </c>
      <c r="B28" s="146">
        <v>2117</v>
      </c>
      <c r="C28" s="138">
        <v>7361</v>
      </c>
      <c r="D28" s="134">
        <v>8900</v>
      </c>
      <c r="E28" s="134">
        <v>11499</v>
      </c>
      <c r="F28" s="134">
        <f t="shared" si="2"/>
        <v>2599</v>
      </c>
      <c r="G28" s="135">
        <f t="shared" si="3"/>
        <v>129.2</v>
      </c>
    </row>
    <row r="29" spans="1:7" ht="19.5" customHeight="1">
      <c r="A29" s="144" t="s">
        <v>275</v>
      </c>
      <c r="B29" s="146">
        <v>2118</v>
      </c>
      <c r="C29" s="138"/>
      <c r="D29" s="134"/>
      <c r="E29" s="134"/>
      <c r="F29" s="134">
        <f t="shared" si="2"/>
        <v>0</v>
      </c>
      <c r="G29" s="135" t="e">
        <f t="shared" si="3"/>
        <v>#DIV/0!</v>
      </c>
    </row>
    <row r="30" spans="1:7" ht="19.5" customHeight="1">
      <c r="A30" s="144" t="s">
        <v>276</v>
      </c>
      <c r="B30" s="146">
        <v>2119</v>
      </c>
      <c r="C30" s="138">
        <v>1153</v>
      </c>
      <c r="D30" s="134">
        <v>1426</v>
      </c>
      <c r="E30" s="134">
        <v>1439</v>
      </c>
      <c r="F30" s="134">
        <f t="shared" si="2"/>
        <v>13</v>
      </c>
      <c r="G30" s="135">
        <f t="shared" si="3"/>
        <v>100.9</v>
      </c>
    </row>
    <row r="31" spans="1:7" s="49" customFormat="1" ht="37.5">
      <c r="A31" s="141" t="s">
        <v>277</v>
      </c>
      <c r="B31" s="130">
        <v>2120</v>
      </c>
      <c r="C31" s="117">
        <f>SUM(C32:C35)</f>
        <v>16643</v>
      </c>
      <c r="D31" s="117">
        <f>SUM(D32:D35)</f>
        <v>20070</v>
      </c>
      <c r="E31" s="117">
        <f>SUM(E32:E35)</f>
        <v>25166</v>
      </c>
      <c r="F31" s="132">
        <f t="shared" si="2"/>
        <v>5096</v>
      </c>
      <c r="G31" s="133">
        <f t="shared" si="3"/>
        <v>125.4</v>
      </c>
    </row>
    <row r="32" spans="1:7" ht="19.5" customHeight="1">
      <c r="A32" s="144" t="s">
        <v>275</v>
      </c>
      <c r="B32" s="146">
        <v>2121</v>
      </c>
      <c r="C32" s="138">
        <v>13787</v>
      </c>
      <c r="D32" s="134">
        <v>17143</v>
      </c>
      <c r="E32" s="134">
        <v>17225</v>
      </c>
      <c r="F32" s="134">
        <f t="shared" si="2"/>
        <v>82</v>
      </c>
      <c r="G32" s="135">
        <f t="shared" si="3"/>
        <v>100.5</v>
      </c>
    </row>
    <row r="33" spans="1:7" ht="19.5" customHeight="1">
      <c r="A33" s="144" t="s">
        <v>278</v>
      </c>
      <c r="B33" s="146">
        <v>2122</v>
      </c>
      <c r="C33" s="138">
        <v>268</v>
      </c>
      <c r="D33" s="134">
        <v>360</v>
      </c>
      <c r="E33" s="134">
        <v>291</v>
      </c>
      <c r="F33" s="134">
        <f t="shared" si="2"/>
        <v>-69</v>
      </c>
      <c r="G33" s="135">
        <f t="shared" si="3"/>
        <v>80.8</v>
      </c>
    </row>
    <row r="34" spans="1:7" ht="19.5" customHeight="1">
      <c r="A34" s="144" t="s">
        <v>279</v>
      </c>
      <c r="B34" s="146">
        <v>2123</v>
      </c>
      <c r="C34" s="138">
        <v>6</v>
      </c>
      <c r="D34" s="134">
        <v>25</v>
      </c>
      <c r="E34" s="134">
        <v>7</v>
      </c>
      <c r="F34" s="134">
        <f t="shared" si="2"/>
        <v>-18</v>
      </c>
      <c r="G34" s="135">
        <f t="shared" si="3"/>
        <v>28</v>
      </c>
    </row>
    <row r="35" spans="1:15" s="49" customFormat="1" ht="18.75">
      <c r="A35" s="141" t="s">
        <v>280</v>
      </c>
      <c r="B35" s="130">
        <v>2124</v>
      </c>
      <c r="C35" s="132">
        <f>C36+C37+C38+C39+C40</f>
        <v>2582</v>
      </c>
      <c r="D35" s="132">
        <f>D36+D37+D38+D39+D40</f>
        <v>2542</v>
      </c>
      <c r="E35" s="132">
        <f>E36+E37+E38+E39+E40+E41</f>
        <v>7643</v>
      </c>
      <c r="F35" s="132">
        <f t="shared" si="2"/>
        <v>5101</v>
      </c>
      <c r="G35" s="133">
        <f t="shared" si="3"/>
        <v>300.7</v>
      </c>
      <c r="H35" s="362"/>
      <c r="I35" s="362"/>
      <c r="J35" s="362"/>
      <c r="K35" s="362"/>
      <c r="L35" s="362"/>
      <c r="M35" s="362"/>
      <c r="N35" s="362"/>
      <c r="O35" s="362"/>
    </row>
    <row r="36" spans="1:15" s="49" customFormat="1" ht="18.75">
      <c r="A36" s="151" t="s">
        <v>281</v>
      </c>
      <c r="B36" s="146"/>
      <c r="C36" s="134">
        <v>971</v>
      </c>
      <c r="D36" s="134">
        <v>1950</v>
      </c>
      <c r="E36" s="134">
        <v>900</v>
      </c>
      <c r="F36" s="134">
        <f t="shared" si="2"/>
        <v>-1050</v>
      </c>
      <c r="G36" s="135">
        <f t="shared" si="3"/>
        <v>46.2</v>
      </c>
      <c r="H36" s="48"/>
      <c r="I36" s="48"/>
      <c r="J36" s="48"/>
      <c r="K36" s="48"/>
      <c r="L36" s="48"/>
      <c r="M36" s="48"/>
      <c r="N36" s="48"/>
      <c r="O36" s="48"/>
    </row>
    <row r="37" spans="1:15" s="49" customFormat="1" ht="18.75">
      <c r="A37" s="151" t="s">
        <v>708</v>
      </c>
      <c r="B37" s="146"/>
      <c r="C37" s="134">
        <v>0.8</v>
      </c>
      <c r="D37" s="134"/>
      <c r="E37" s="134">
        <v>0</v>
      </c>
      <c r="F37" s="134">
        <f t="shared" si="2"/>
        <v>0</v>
      </c>
      <c r="G37" s="135" t="e">
        <f t="shared" si="3"/>
        <v>#DIV/0!</v>
      </c>
      <c r="H37" s="48"/>
      <c r="I37" s="48"/>
      <c r="J37" s="48"/>
      <c r="K37" s="48"/>
      <c r="L37" s="48"/>
      <c r="M37" s="48"/>
      <c r="N37" s="48"/>
      <c r="O37" s="48"/>
    </row>
    <row r="38" spans="1:15" s="49" customFormat="1" ht="18.75">
      <c r="A38" s="151" t="s">
        <v>282</v>
      </c>
      <c r="B38" s="146"/>
      <c r="C38" s="134">
        <v>498</v>
      </c>
      <c r="D38" s="134">
        <v>578</v>
      </c>
      <c r="E38" s="134">
        <v>615</v>
      </c>
      <c r="F38" s="134">
        <f t="shared" si="2"/>
        <v>37</v>
      </c>
      <c r="G38" s="314">
        <f t="shared" si="3"/>
        <v>106.4</v>
      </c>
      <c r="H38" s="48"/>
      <c r="I38" s="48"/>
      <c r="J38" s="48"/>
      <c r="K38" s="48"/>
      <c r="L38" s="48"/>
      <c r="M38" s="48"/>
      <c r="N38" s="48"/>
      <c r="O38" s="48"/>
    </row>
    <row r="39" spans="1:15" s="49" customFormat="1" ht="37.5">
      <c r="A39" s="151" t="s">
        <v>105</v>
      </c>
      <c r="B39" s="146"/>
      <c r="C39" s="134">
        <v>1112</v>
      </c>
      <c r="D39" s="134">
        <v>14</v>
      </c>
      <c r="E39" s="134">
        <f>6106-34</f>
        <v>6072</v>
      </c>
      <c r="F39" s="134">
        <f t="shared" si="2"/>
        <v>6058</v>
      </c>
      <c r="G39" s="314" t="s">
        <v>695</v>
      </c>
      <c r="H39" s="52"/>
      <c r="I39" s="48"/>
      <c r="J39" s="48"/>
      <c r="K39" s="48"/>
      <c r="L39" s="48"/>
      <c r="M39" s="48"/>
      <c r="N39" s="48"/>
      <c r="O39" s="48"/>
    </row>
    <row r="40" spans="1:15" s="49" customFormat="1" ht="18.75">
      <c r="A40" s="151" t="s">
        <v>716</v>
      </c>
      <c r="B40" s="146"/>
      <c r="C40" s="134"/>
      <c r="D40" s="134"/>
      <c r="E40" s="134">
        <v>22</v>
      </c>
      <c r="F40" s="134"/>
      <c r="G40" s="314"/>
      <c r="H40" s="52"/>
      <c r="I40" s="48"/>
      <c r="J40" s="48"/>
      <c r="K40" s="48"/>
      <c r="L40" s="48"/>
      <c r="M40" s="48"/>
      <c r="N40" s="48"/>
      <c r="O40" s="48"/>
    </row>
    <row r="41" spans="1:15" s="49" customFormat="1" ht="18.75">
      <c r="A41" s="151" t="s">
        <v>734</v>
      </c>
      <c r="B41" s="146"/>
      <c r="C41" s="134"/>
      <c r="D41" s="134"/>
      <c r="E41" s="134">
        <v>34</v>
      </c>
      <c r="F41" s="134"/>
      <c r="G41" s="314"/>
      <c r="H41" s="52"/>
      <c r="I41" s="48"/>
      <c r="J41" s="48"/>
      <c r="K41" s="48"/>
      <c r="L41" s="48"/>
      <c r="M41" s="48"/>
      <c r="N41" s="48"/>
      <c r="O41" s="48"/>
    </row>
    <row r="42" spans="1:7" s="49" customFormat="1" ht="37.5">
      <c r="A42" s="141" t="s">
        <v>283</v>
      </c>
      <c r="B42" s="130">
        <v>2130</v>
      </c>
      <c r="C42" s="117">
        <f>SUM(C43:C46)</f>
        <v>16566</v>
      </c>
      <c r="D42" s="117">
        <f>SUM(D43:D46)</f>
        <v>21492</v>
      </c>
      <c r="E42" s="117">
        <f>SUM(E43:E46)</f>
        <v>20631</v>
      </c>
      <c r="F42" s="132">
        <f t="shared" si="2"/>
        <v>-861</v>
      </c>
      <c r="G42" s="133">
        <f t="shared" si="3"/>
        <v>96</v>
      </c>
    </row>
    <row r="43" spans="1:7" ht="52.5" customHeight="1">
      <c r="A43" s="144" t="s">
        <v>114</v>
      </c>
      <c r="B43" s="146">
        <v>2131</v>
      </c>
      <c r="C43" s="134"/>
      <c r="D43" s="134"/>
      <c r="E43" s="134"/>
      <c r="F43" s="134">
        <f t="shared" si="2"/>
        <v>0</v>
      </c>
      <c r="G43" s="135" t="e">
        <f t="shared" si="3"/>
        <v>#DIV/0!</v>
      </c>
    </row>
    <row r="44" spans="1:7" s="49" customFormat="1" ht="19.5" customHeight="1">
      <c r="A44" s="144" t="s">
        <v>284</v>
      </c>
      <c r="B44" s="146">
        <v>2132</v>
      </c>
      <c r="C44" s="134"/>
      <c r="D44" s="134"/>
      <c r="E44" s="134"/>
      <c r="F44" s="134">
        <f t="shared" si="2"/>
        <v>0</v>
      </c>
      <c r="G44" s="135" t="e">
        <f t="shared" si="3"/>
        <v>#DIV/0!</v>
      </c>
    </row>
    <row r="45" spans="1:7" ht="37.5">
      <c r="A45" s="144" t="s">
        <v>285</v>
      </c>
      <c r="B45" s="146">
        <v>2133</v>
      </c>
      <c r="C45" s="138">
        <v>16566</v>
      </c>
      <c r="D45" s="134">
        <v>21492</v>
      </c>
      <c r="E45" s="134">
        <v>20631</v>
      </c>
      <c r="F45" s="134">
        <f t="shared" si="2"/>
        <v>-861</v>
      </c>
      <c r="G45" s="135">
        <f t="shared" si="3"/>
        <v>96</v>
      </c>
    </row>
    <row r="46" spans="1:7" ht="19.5" customHeight="1">
      <c r="A46" s="144" t="s">
        <v>286</v>
      </c>
      <c r="B46" s="146">
        <v>2134</v>
      </c>
      <c r="C46" s="134"/>
      <c r="D46" s="134"/>
      <c r="E46" s="134"/>
      <c r="F46" s="134">
        <f t="shared" si="2"/>
        <v>0</v>
      </c>
      <c r="G46" s="135" t="e">
        <f t="shared" si="3"/>
        <v>#DIV/0!</v>
      </c>
    </row>
    <row r="47" spans="1:7" s="49" customFormat="1" ht="19.5" customHeight="1">
      <c r="A47" s="141" t="s">
        <v>287</v>
      </c>
      <c r="B47" s="130">
        <v>2140</v>
      </c>
      <c r="C47" s="117">
        <f>SUM(C48:C49)</f>
        <v>6235</v>
      </c>
      <c r="D47" s="117">
        <f>SUM(D48:D49)</f>
        <v>4972</v>
      </c>
      <c r="E47" s="117">
        <f>SUM(E48:E49)</f>
        <v>1385</v>
      </c>
      <c r="F47" s="132">
        <f t="shared" si="2"/>
        <v>-3587</v>
      </c>
      <c r="G47" s="133">
        <f t="shared" si="3"/>
        <v>27.9</v>
      </c>
    </row>
    <row r="48" spans="1:7" ht="37.5" customHeight="1">
      <c r="A48" s="144" t="s">
        <v>288</v>
      </c>
      <c r="B48" s="146">
        <v>2141</v>
      </c>
      <c r="C48" s="134"/>
      <c r="D48" s="134"/>
      <c r="E48" s="134"/>
      <c r="F48" s="134">
        <f t="shared" si="2"/>
        <v>0</v>
      </c>
      <c r="G48" s="135" t="e">
        <f t="shared" si="3"/>
        <v>#DIV/0!</v>
      </c>
    </row>
    <row r="49" spans="1:7" s="49" customFormat="1" ht="19.5" customHeight="1">
      <c r="A49" s="144" t="s">
        <v>289</v>
      </c>
      <c r="B49" s="146">
        <v>2142</v>
      </c>
      <c r="C49" s="134">
        <v>6235</v>
      </c>
      <c r="D49" s="134">
        <v>4972</v>
      </c>
      <c r="E49" s="134">
        <v>1385</v>
      </c>
      <c r="F49" s="134">
        <f t="shared" si="2"/>
        <v>-3587</v>
      </c>
      <c r="G49" s="135">
        <f t="shared" si="3"/>
        <v>27.9</v>
      </c>
    </row>
    <row r="50" spans="1:7" s="49" customFormat="1" ht="21.75" customHeight="1">
      <c r="A50" s="141" t="s">
        <v>116</v>
      </c>
      <c r="B50" s="130">
        <v>2200</v>
      </c>
      <c r="C50" s="117">
        <f>SUM(C21,C31,C42,C47)</f>
        <v>63020</v>
      </c>
      <c r="D50" s="117">
        <f>SUM(D21,D31,D42,D47)</f>
        <v>71760</v>
      </c>
      <c r="E50" s="117">
        <f>SUM(E21,E31,E42,E47)</f>
        <v>87654</v>
      </c>
      <c r="F50" s="132">
        <f t="shared" si="2"/>
        <v>15894</v>
      </c>
      <c r="G50" s="133">
        <f t="shared" si="3"/>
        <v>122.1</v>
      </c>
    </row>
    <row r="51" spans="1:7" s="49" customFormat="1" ht="15" customHeight="1">
      <c r="A51" s="50"/>
      <c r="B51" s="47"/>
      <c r="C51" s="47"/>
      <c r="D51" s="47"/>
      <c r="E51" s="47"/>
      <c r="F51" s="47"/>
      <c r="G51" s="47"/>
    </row>
    <row r="52" spans="1:7" s="1" customFormat="1" ht="27.75" customHeight="1">
      <c r="A52" s="30" t="s">
        <v>290</v>
      </c>
      <c r="B52" s="22"/>
      <c r="C52" s="340" t="s">
        <v>195</v>
      </c>
      <c r="D52" s="340"/>
      <c r="E52" s="24"/>
      <c r="F52" s="341" t="s">
        <v>196</v>
      </c>
      <c r="G52" s="341"/>
    </row>
    <row r="53" spans="1:7" s="38" customFormat="1" ht="18" customHeight="1">
      <c r="A53" s="45" t="s">
        <v>291</v>
      </c>
      <c r="B53" s="24"/>
      <c r="C53" s="45" t="s">
        <v>292</v>
      </c>
      <c r="D53" s="24"/>
      <c r="E53" s="45"/>
      <c r="F53" s="335" t="s">
        <v>293</v>
      </c>
      <c r="G53" s="335"/>
    </row>
  </sheetData>
  <sheetProtection selectLockedCells="1" selectUnlockedCells="1"/>
  <mergeCells count="12">
    <mergeCell ref="A1:G1"/>
    <mergeCell ref="A2:G2"/>
    <mergeCell ref="A3:A4"/>
    <mergeCell ref="B3:B4"/>
    <mergeCell ref="C3:C4"/>
    <mergeCell ref="D3:G3"/>
    <mergeCell ref="A6:G6"/>
    <mergeCell ref="A20:G20"/>
    <mergeCell ref="H35:O35"/>
    <mergeCell ref="C52:D52"/>
    <mergeCell ref="F52:G52"/>
    <mergeCell ref="F53:G5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2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03"/>
  <sheetViews>
    <sheetView view="pageBreakPreview" zoomScale="70" zoomScaleNormal="83" zoomScaleSheetLayoutView="70" zoomScalePageLayoutView="0" workbookViewId="0" topLeftCell="A1">
      <pane ySplit="5" topLeftCell="A102" activePane="bottomLeft" state="frozen"/>
      <selection pane="topLeft" activeCell="A1" sqref="A1"/>
      <selection pane="bottomLeft" activeCell="J95" sqref="J95"/>
    </sheetView>
  </sheetViews>
  <sheetFormatPr defaultColWidth="8.625" defaultRowHeight="12.75"/>
  <cols>
    <col min="1" max="1" width="71.25390625" style="38" customWidth="1"/>
    <col min="2" max="2" width="10.875" style="38" customWidth="1"/>
    <col min="3" max="3" width="20.00390625" style="38" customWidth="1"/>
    <col min="4" max="4" width="19.00390625" style="38" customWidth="1"/>
    <col min="5" max="5" width="20.125" style="38" customWidth="1"/>
    <col min="6" max="6" width="23.25390625" style="38" customWidth="1"/>
    <col min="7" max="7" width="26.00390625" style="38" customWidth="1"/>
    <col min="8" max="16384" width="8.625" style="38" customWidth="1"/>
  </cols>
  <sheetData>
    <row r="1" spans="1:7" ht="18.75">
      <c r="A1" s="335" t="s">
        <v>294</v>
      </c>
      <c r="B1" s="335"/>
      <c r="C1" s="335"/>
      <c r="D1" s="335"/>
      <c r="E1" s="335"/>
      <c r="F1" s="335"/>
      <c r="G1" s="335"/>
    </row>
    <row r="2" spans="1:7" ht="7.5" customHeight="1">
      <c r="A2" s="3"/>
      <c r="B2" s="3"/>
      <c r="C2" s="3"/>
      <c r="D2" s="3"/>
      <c r="E2" s="3"/>
      <c r="F2" s="3"/>
      <c r="G2" s="3"/>
    </row>
    <row r="3" spans="1:7" ht="32.25" customHeight="1">
      <c r="A3" s="344" t="s">
        <v>36</v>
      </c>
      <c r="B3" s="367" t="s">
        <v>295</v>
      </c>
      <c r="C3" s="344" t="s">
        <v>38</v>
      </c>
      <c r="D3" s="345" t="s">
        <v>200</v>
      </c>
      <c r="E3" s="345"/>
      <c r="F3" s="345"/>
      <c r="G3" s="345"/>
    </row>
    <row r="4" spans="1:7" ht="42" customHeight="1">
      <c r="A4" s="344"/>
      <c r="B4" s="367"/>
      <c r="C4" s="344"/>
      <c r="D4" s="103" t="s">
        <v>40</v>
      </c>
      <c r="E4" s="103" t="s">
        <v>41</v>
      </c>
      <c r="F4" s="103" t="s">
        <v>42</v>
      </c>
      <c r="G4" s="103" t="s">
        <v>43</v>
      </c>
    </row>
    <row r="5" spans="1:7" ht="18.75">
      <c r="A5" s="103">
        <v>1</v>
      </c>
      <c r="B5" s="102">
        <v>2</v>
      </c>
      <c r="C5" s="103">
        <v>3</v>
      </c>
      <c r="D5" s="103">
        <v>4</v>
      </c>
      <c r="E5" s="102">
        <v>5</v>
      </c>
      <c r="F5" s="103">
        <v>6</v>
      </c>
      <c r="G5" s="102">
        <v>7</v>
      </c>
    </row>
    <row r="6" spans="1:7" ht="27.75" customHeight="1">
      <c r="A6" s="137" t="s">
        <v>296</v>
      </c>
      <c r="B6" s="368"/>
      <c r="C6" s="368"/>
      <c r="D6" s="368"/>
      <c r="E6" s="368"/>
      <c r="F6" s="368"/>
      <c r="G6" s="368"/>
    </row>
    <row r="7" spans="1:7" s="51" customFormat="1" ht="37.5">
      <c r="A7" s="113" t="s">
        <v>297</v>
      </c>
      <c r="B7" s="120">
        <v>3000</v>
      </c>
      <c r="C7" s="117">
        <f>SUM(C8:C9,C21,C22,C23,C27)</f>
        <v>216900</v>
      </c>
      <c r="D7" s="117">
        <f>SUM(D8:D9,D11,D22,D23,D27)</f>
        <v>394920</v>
      </c>
      <c r="E7" s="117">
        <f>SUM(E8:E9,E21,E22,E23,E27)</f>
        <v>300200</v>
      </c>
      <c r="F7" s="132">
        <f>E7-D7</f>
        <v>-94720</v>
      </c>
      <c r="G7" s="133">
        <f>(E7/D7)*100</f>
        <v>76</v>
      </c>
    </row>
    <row r="8" spans="1:7" ht="18.75">
      <c r="A8" s="114" t="s">
        <v>298</v>
      </c>
      <c r="B8" s="104">
        <v>3010</v>
      </c>
      <c r="C8" s="138">
        <v>215254</v>
      </c>
      <c r="D8" s="134">
        <v>319500</v>
      </c>
      <c r="E8" s="134">
        <v>298498</v>
      </c>
      <c r="F8" s="134">
        <f>E8-D8</f>
        <v>-21002</v>
      </c>
      <c r="G8" s="135">
        <f>(E8/D8)*100</f>
        <v>93.4</v>
      </c>
    </row>
    <row r="9" spans="1:7" ht="18.75">
      <c r="A9" s="114" t="s">
        <v>299</v>
      </c>
      <c r="B9" s="104">
        <v>3020</v>
      </c>
      <c r="C9" s="138"/>
      <c r="D9" s="134"/>
      <c r="E9" s="134"/>
      <c r="F9" s="134">
        <f>E9-D9</f>
        <v>0</v>
      </c>
      <c r="G9" s="135" t="e">
        <f>(E9/D9)*100</f>
        <v>#DIV/0!</v>
      </c>
    </row>
    <row r="10" spans="1:7" ht="18" customHeight="1">
      <c r="A10" s="114" t="s">
        <v>300</v>
      </c>
      <c r="B10" s="104">
        <v>3030</v>
      </c>
      <c r="C10" s="138">
        <v>0</v>
      </c>
      <c r="D10" s="134"/>
      <c r="E10" s="134"/>
      <c r="F10" s="134">
        <f>E10-D10</f>
        <v>0</v>
      </c>
      <c r="G10" s="135" t="e">
        <f>(E10/D10)*100</f>
        <v>#DIV/0!</v>
      </c>
    </row>
    <row r="11" spans="1:7" ht="18" customHeight="1">
      <c r="A11" s="114" t="s">
        <v>301</v>
      </c>
      <c r="B11" s="104">
        <v>3040</v>
      </c>
      <c r="C11" s="134">
        <f>C12+C13+C14+C15+C16+C17+C18+C19+C20</f>
        <v>50886</v>
      </c>
      <c r="D11" s="134">
        <f>D12+D13+D14+D15+D16+D17+D18+D19+D20</f>
        <v>74720</v>
      </c>
      <c r="E11" s="134">
        <f>E12+E13+E14+E15+E16+E17+E18+E19+E20</f>
        <v>28827</v>
      </c>
      <c r="F11" s="134">
        <f>E11-D11</f>
        <v>-45893</v>
      </c>
      <c r="G11" s="135">
        <f>(E11/D11)*100</f>
        <v>38.6</v>
      </c>
    </row>
    <row r="12" spans="1:7" ht="41.25" customHeight="1">
      <c r="A12" s="139" t="s">
        <v>696</v>
      </c>
      <c r="B12" s="104" t="s">
        <v>302</v>
      </c>
      <c r="C12" s="134">
        <v>38800</v>
      </c>
      <c r="D12" s="134">
        <v>28470</v>
      </c>
      <c r="E12" s="134">
        <v>19398</v>
      </c>
      <c r="F12" s="134"/>
      <c r="G12" s="135"/>
    </row>
    <row r="13" spans="1:7" ht="39" customHeight="1">
      <c r="A13" s="139" t="s">
        <v>697</v>
      </c>
      <c r="B13" s="104" t="s">
        <v>303</v>
      </c>
      <c r="C13" s="134">
        <v>6982</v>
      </c>
      <c r="D13" s="134">
        <v>46250</v>
      </c>
      <c r="E13" s="134"/>
      <c r="F13" s="134"/>
      <c r="G13" s="135"/>
    </row>
    <row r="14" spans="1:7" ht="22.5" customHeight="1">
      <c r="A14" s="139" t="s">
        <v>698</v>
      </c>
      <c r="B14" s="104" t="s">
        <v>304</v>
      </c>
      <c r="C14" s="134"/>
      <c r="D14" s="134"/>
      <c r="E14" s="134"/>
      <c r="F14" s="134"/>
      <c r="G14" s="135"/>
    </row>
    <row r="15" spans="1:7" ht="22.5" customHeight="1">
      <c r="A15" s="139" t="s">
        <v>699</v>
      </c>
      <c r="B15" s="104" t="s">
        <v>306</v>
      </c>
      <c r="C15" s="134"/>
      <c r="D15" s="134"/>
      <c r="E15" s="134"/>
      <c r="F15" s="134"/>
      <c r="G15" s="135"/>
    </row>
    <row r="16" spans="1:7" ht="18" customHeight="1">
      <c r="A16" s="139" t="s">
        <v>700</v>
      </c>
      <c r="B16" s="104" t="s">
        <v>704</v>
      </c>
      <c r="C16" s="134">
        <v>179</v>
      </c>
      <c r="D16" s="134"/>
      <c r="E16" s="134">
        <v>222</v>
      </c>
      <c r="F16" s="134"/>
      <c r="G16" s="135"/>
    </row>
    <row r="17" spans="1:7" ht="18" customHeight="1">
      <c r="A17" s="139" t="s">
        <v>305</v>
      </c>
      <c r="B17" s="104" t="s">
        <v>307</v>
      </c>
      <c r="C17" s="134">
        <v>84</v>
      </c>
      <c r="D17" s="134"/>
      <c r="E17" s="134">
        <v>106</v>
      </c>
      <c r="F17" s="134"/>
      <c r="G17" s="135"/>
    </row>
    <row r="18" spans="1:7" ht="18" customHeight="1">
      <c r="A18" s="139" t="s">
        <v>701</v>
      </c>
      <c r="B18" s="104" t="s">
        <v>705</v>
      </c>
      <c r="C18" s="134">
        <v>2000</v>
      </c>
      <c r="D18" s="134"/>
      <c r="E18" s="134">
        <v>5602</v>
      </c>
      <c r="F18" s="134"/>
      <c r="G18" s="135"/>
    </row>
    <row r="19" spans="1:7" ht="18" customHeight="1">
      <c r="A19" s="315" t="s">
        <v>702</v>
      </c>
      <c r="B19" s="104" t="s">
        <v>706</v>
      </c>
      <c r="C19" s="134">
        <v>2691</v>
      </c>
      <c r="D19" s="134"/>
      <c r="E19" s="134">
        <v>3350</v>
      </c>
      <c r="F19" s="134"/>
      <c r="G19" s="135"/>
    </row>
    <row r="20" spans="1:7" ht="36.75" customHeight="1">
      <c r="A20" s="316" t="s">
        <v>703</v>
      </c>
      <c r="B20" s="104" t="s">
        <v>707</v>
      </c>
      <c r="C20" s="134">
        <v>150</v>
      </c>
      <c r="D20" s="134"/>
      <c r="E20" s="134">
        <v>149</v>
      </c>
      <c r="F20" s="134"/>
      <c r="G20" s="135"/>
    </row>
    <row r="21" spans="1:7" ht="16.5" customHeight="1">
      <c r="A21" s="316" t="s">
        <v>709</v>
      </c>
      <c r="B21" s="104" t="s">
        <v>721</v>
      </c>
      <c r="C21" s="134">
        <v>1073</v>
      </c>
      <c r="D21" s="134"/>
      <c r="E21" s="134">
        <v>1307</v>
      </c>
      <c r="F21" s="134"/>
      <c r="G21" s="135"/>
    </row>
    <row r="22" spans="1:7" ht="18.75">
      <c r="A22" s="114" t="s">
        <v>308</v>
      </c>
      <c r="B22" s="104">
        <v>3050</v>
      </c>
      <c r="C22" s="134"/>
      <c r="D22" s="134"/>
      <c r="E22" s="134"/>
      <c r="F22" s="134">
        <f aca="true" t="shared" si="0" ref="F22:F50">E22-D22</f>
        <v>0</v>
      </c>
      <c r="G22" s="135" t="e">
        <f aca="true" t="shared" si="1" ref="G22:G50">(E22/D22)*100</f>
        <v>#DIV/0!</v>
      </c>
    </row>
    <row r="23" spans="1:7" ht="37.5">
      <c r="A23" s="114" t="s">
        <v>309</v>
      </c>
      <c r="B23" s="104">
        <v>3060</v>
      </c>
      <c r="C23" s="140">
        <f>SUM(C24:C26)</f>
        <v>0</v>
      </c>
      <c r="D23" s="140">
        <f>SUM(D24:D26)</f>
        <v>0</v>
      </c>
      <c r="E23" s="140">
        <f>SUM(E24:E26)</f>
        <v>0</v>
      </c>
      <c r="F23" s="134">
        <f t="shared" si="0"/>
        <v>0</v>
      </c>
      <c r="G23" s="135" t="e">
        <f t="shared" si="1"/>
        <v>#DIV/0!</v>
      </c>
    </row>
    <row r="24" spans="1:7" ht="18" customHeight="1">
      <c r="A24" s="114" t="s">
        <v>310</v>
      </c>
      <c r="B24" s="104">
        <v>3061</v>
      </c>
      <c r="C24" s="138"/>
      <c r="D24" s="134"/>
      <c r="E24" s="134"/>
      <c r="F24" s="134">
        <f t="shared" si="0"/>
        <v>0</v>
      </c>
      <c r="G24" s="135" t="e">
        <f t="shared" si="1"/>
        <v>#DIV/0!</v>
      </c>
    </row>
    <row r="25" spans="1:7" ht="18" customHeight="1">
      <c r="A25" s="114" t="s">
        <v>311</v>
      </c>
      <c r="B25" s="104">
        <v>3062</v>
      </c>
      <c r="C25" s="138"/>
      <c r="D25" s="134"/>
      <c r="E25" s="134"/>
      <c r="F25" s="134">
        <f t="shared" si="0"/>
        <v>0</v>
      </c>
      <c r="G25" s="135" t="e">
        <f t="shared" si="1"/>
        <v>#DIV/0!</v>
      </c>
    </row>
    <row r="26" spans="1:7" ht="18" customHeight="1">
      <c r="A26" s="114" t="s">
        <v>312</v>
      </c>
      <c r="B26" s="104">
        <v>3063</v>
      </c>
      <c r="C26" s="138"/>
      <c r="D26" s="134"/>
      <c r="E26" s="134"/>
      <c r="F26" s="134">
        <f t="shared" si="0"/>
        <v>0</v>
      </c>
      <c r="G26" s="135" t="e">
        <f t="shared" si="1"/>
        <v>#DIV/0!</v>
      </c>
    </row>
    <row r="27" spans="1:7" ht="18.75">
      <c r="A27" s="114" t="s">
        <v>723</v>
      </c>
      <c r="B27" s="104">
        <v>3070</v>
      </c>
      <c r="C27" s="138">
        <v>573</v>
      </c>
      <c r="D27" s="134">
        <v>700</v>
      </c>
      <c r="E27" s="134">
        <v>395</v>
      </c>
      <c r="F27" s="134">
        <f t="shared" si="0"/>
        <v>-305</v>
      </c>
      <c r="G27" s="135">
        <f t="shared" si="1"/>
        <v>56.4</v>
      </c>
    </row>
    <row r="28" spans="1:7" ht="54.75" customHeight="1">
      <c r="A28" s="113" t="s">
        <v>313</v>
      </c>
      <c r="B28" s="120">
        <v>3100</v>
      </c>
      <c r="C28" s="117">
        <f>SUM(C29:C32,C36,C51,C52)</f>
        <v>-216375</v>
      </c>
      <c r="D28" s="117">
        <f>SUM(D29:D32,D36,D51,D52)</f>
        <v>-392547</v>
      </c>
      <c r="E28" s="117">
        <f>SUM(E29:E32,E36,E51,E52)</f>
        <v>-298936</v>
      </c>
      <c r="F28" s="132">
        <f t="shared" si="0"/>
        <v>93611</v>
      </c>
      <c r="G28" s="133">
        <f t="shared" si="1"/>
        <v>76.2</v>
      </c>
    </row>
    <row r="29" spans="1:7" ht="18.75">
      <c r="A29" s="114" t="s">
        <v>314</v>
      </c>
      <c r="B29" s="104">
        <v>3110</v>
      </c>
      <c r="C29" s="138">
        <v>-94865</v>
      </c>
      <c r="D29" s="134">
        <v>-246200</v>
      </c>
      <c r="E29" s="134">
        <v>-132209</v>
      </c>
      <c r="F29" s="134">
        <f t="shared" si="0"/>
        <v>113991</v>
      </c>
      <c r="G29" s="135">
        <f t="shared" si="1"/>
        <v>53.7</v>
      </c>
    </row>
    <row r="30" spans="1:7" ht="18" customHeight="1">
      <c r="A30" s="114" t="s">
        <v>315</v>
      </c>
      <c r="B30" s="104">
        <v>3120</v>
      </c>
      <c r="C30" s="138">
        <v>-59979</v>
      </c>
      <c r="D30" s="134">
        <v>-75000</v>
      </c>
      <c r="E30" s="134">
        <v>-74216</v>
      </c>
      <c r="F30" s="134">
        <f t="shared" si="0"/>
        <v>784</v>
      </c>
      <c r="G30" s="135">
        <f t="shared" si="1"/>
        <v>99</v>
      </c>
    </row>
    <row r="31" spans="1:7" ht="18" customHeight="1">
      <c r="A31" s="114" t="s">
        <v>85</v>
      </c>
      <c r="B31" s="104">
        <v>3130</v>
      </c>
      <c r="C31" s="138">
        <v>-16400</v>
      </c>
      <c r="D31" s="134">
        <v>-21000</v>
      </c>
      <c r="E31" s="134">
        <v>-20377</v>
      </c>
      <c r="F31" s="134">
        <f t="shared" si="0"/>
        <v>623</v>
      </c>
      <c r="G31" s="135">
        <f t="shared" si="1"/>
        <v>97</v>
      </c>
    </row>
    <row r="32" spans="1:7" ht="37.5">
      <c r="A32" s="114" t="s">
        <v>316</v>
      </c>
      <c r="B32" s="104">
        <v>3140</v>
      </c>
      <c r="C32" s="140">
        <f>SUM(C33:C35)</f>
        <v>0</v>
      </c>
      <c r="D32" s="140">
        <f>SUM(D33:D35)</f>
        <v>0</v>
      </c>
      <c r="E32" s="140">
        <f>SUM(E33:E35)</f>
        <v>0</v>
      </c>
      <c r="F32" s="134">
        <f t="shared" si="0"/>
        <v>0</v>
      </c>
      <c r="G32" s="135" t="e">
        <f t="shared" si="1"/>
        <v>#DIV/0!</v>
      </c>
    </row>
    <row r="33" spans="1:7" ht="18" customHeight="1">
      <c r="A33" s="114" t="s">
        <v>310</v>
      </c>
      <c r="B33" s="104">
        <v>3141</v>
      </c>
      <c r="C33" s="134" t="s">
        <v>722</v>
      </c>
      <c r="D33" s="134" t="s">
        <v>215</v>
      </c>
      <c r="E33" s="134" t="s">
        <v>722</v>
      </c>
      <c r="F33" s="134" t="e">
        <f t="shared" si="0"/>
        <v>#VALUE!</v>
      </c>
      <c r="G33" s="135" t="e">
        <f t="shared" si="1"/>
        <v>#VALUE!</v>
      </c>
    </row>
    <row r="34" spans="1:7" ht="18" customHeight="1">
      <c r="A34" s="114" t="s">
        <v>311</v>
      </c>
      <c r="B34" s="104">
        <v>3142</v>
      </c>
      <c r="C34" s="134" t="s">
        <v>215</v>
      </c>
      <c r="D34" s="134" t="s">
        <v>215</v>
      </c>
      <c r="E34" s="134" t="s">
        <v>215</v>
      </c>
      <c r="F34" s="134" t="e">
        <f t="shared" si="0"/>
        <v>#VALUE!</v>
      </c>
      <c r="G34" s="135" t="e">
        <f t="shared" si="1"/>
        <v>#VALUE!</v>
      </c>
    </row>
    <row r="35" spans="1:7" ht="18" customHeight="1">
      <c r="A35" s="114" t="s">
        <v>312</v>
      </c>
      <c r="B35" s="104">
        <v>3143</v>
      </c>
      <c r="C35" s="134" t="s">
        <v>215</v>
      </c>
      <c r="D35" s="134" t="s">
        <v>215</v>
      </c>
      <c r="E35" s="134" t="s">
        <v>215</v>
      </c>
      <c r="F35" s="134" t="e">
        <f t="shared" si="0"/>
        <v>#VALUE!</v>
      </c>
      <c r="G35" s="135" t="e">
        <f t="shared" si="1"/>
        <v>#VALUE!</v>
      </c>
    </row>
    <row r="36" spans="1:7" ht="36" customHeight="1">
      <c r="A36" s="114" t="s">
        <v>317</v>
      </c>
      <c r="B36" s="104">
        <v>3150</v>
      </c>
      <c r="C36" s="140">
        <f>SUM(C37:C42,C45)</f>
        <v>-42865</v>
      </c>
      <c r="D36" s="140">
        <f>SUM(D37:D42,D45)</f>
        <v>-45375</v>
      </c>
      <c r="E36" s="317">
        <f>SUM(E37:E42,E45)</f>
        <v>-68888</v>
      </c>
      <c r="F36" s="134">
        <f t="shared" si="0"/>
        <v>-23513</v>
      </c>
      <c r="G36" s="135">
        <f t="shared" si="1"/>
        <v>151.8</v>
      </c>
    </row>
    <row r="37" spans="1:7" ht="18" customHeight="1">
      <c r="A37" s="114" t="s">
        <v>105</v>
      </c>
      <c r="B37" s="104">
        <v>3151</v>
      </c>
      <c r="C37" s="138">
        <v>-842</v>
      </c>
      <c r="D37" s="134">
        <v>-14</v>
      </c>
      <c r="E37" s="134">
        <v>-5877</v>
      </c>
      <c r="F37" s="134">
        <f t="shared" si="0"/>
        <v>-5863</v>
      </c>
      <c r="G37" s="135">
        <f t="shared" si="1"/>
        <v>41978.6</v>
      </c>
    </row>
    <row r="38" spans="1:7" ht="18" customHeight="1">
      <c r="A38" s="114" t="s">
        <v>318</v>
      </c>
      <c r="B38" s="104">
        <v>3152</v>
      </c>
      <c r="C38" s="138">
        <v>-14679</v>
      </c>
      <c r="D38" s="134">
        <v>-12800</v>
      </c>
      <c r="E38" s="134">
        <v>-22857</v>
      </c>
      <c r="F38" s="134">
        <f t="shared" si="0"/>
        <v>-10057</v>
      </c>
      <c r="G38" s="135">
        <f t="shared" si="1"/>
        <v>178.6</v>
      </c>
    </row>
    <row r="39" spans="1:7" ht="18" customHeight="1">
      <c r="A39" s="114" t="s">
        <v>108</v>
      </c>
      <c r="B39" s="104">
        <v>3153</v>
      </c>
      <c r="C39" s="138" t="s">
        <v>215</v>
      </c>
      <c r="D39" s="134" t="s">
        <v>215</v>
      </c>
      <c r="E39" s="134" t="s">
        <v>215</v>
      </c>
      <c r="F39" s="134" t="e">
        <f t="shared" si="0"/>
        <v>#VALUE!</v>
      </c>
      <c r="G39" s="135" t="e">
        <f t="shared" si="1"/>
        <v>#VALUE!</v>
      </c>
    </row>
    <row r="40" spans="1:7" ht="18" customHeight="1">
      <c r="A40" s="114" t="s">
        <v>319</v>
      </c>
      <c r="B40" s="104">
        <v>3154</v>
      </c>
      <c r="C40" s="138">
        <v>-11236</v>
      </c>
      <c r="D40" s="134">
        <v>-11000</v>
      </c>
      <c r="E40" s="134">
        <v>-20080</v>
      </c>
      <c r="F40" s="134">
        <f t="shared" si="0"/>
        <v>-9080</v>
      </c>
      <c r="G40" s="135">
        <f t="shared" si="1"/>
        <v>182.5</v>
      </c>
    </row>
    <row r="41" spans="1:7" ht="18" customHeight="1">
      <c r="A41" s="114" t="s">
        <v>275</v>
      </c>
      <c r="B41" s="104">
        <v>3155</v>
      </c>
      <c r="C41" s="138">
        <v>-13463</v>
      </c>
      <c r="D41" s="134">
        <v>-17143</v>
      </c>
      <c r="E41" s="134">
        <v>-16920</v>
      </c>
      <c r="F41" s="134">
        <f t="shared" si="0"/>
        <v>223</v>
      </c>
      <c r="G41" s="135">
        <f t="shared" si="1"/>
        <v>98.7</v>
      </c>
    </row>
    <row r="42" spans="1:7" ht="18.75">
      <c r="A42" s="114" t="s">
        <v>320</v>
      </c>
      <c r="B42" s="104">
        <v>3156</v>
      </c>
      <c r="C42" s="140">
        <f>SUM(C43:C44)</f>
        <v>0</v>
      </c>
      <c r="D42" s="140">
        <f>SUM(D43:D44)</f>
        <v>-578</v>
      </c>
      <c r="E42" s="140">
        <f>SUM(E43:E44)</f>
        <v>0</v>
      </c>
      <c r="F42" s="134">
        <f t="shared" si="0"/>
        <v>578</v>
      </c>
      <c r="G42" s="135">
        <f t="shared" si="1"/>
        <v>0</v>
      </c>
    </row>
    <row r="43" spans="1:7" ht="37.5">
      <c r="A43" s="114" t="s">
        <v>109</v>
      </c>
      <c r="B43" s="104" t="s">
        <v>321</v>
      </c>
      <c r="C43" s="138" t="s">
        <v>722</v>
      </c>
      <c r="D43" s="134">
        <v>-578</v>
      </c>
      <c r="E43" s="134" t="s">
        <v>722</v>
      </c>
      <c r="F43" s="134" t="e">
        <f t="shared" si="0"/>
        <v>#VALUE!</v>
      </c>
      <c r="G43" s="135" t="e">
        <f t="shared" si="1"/>
        <v>#VALUE!</v>
      </c>
    </row>
    <row r="44" spans="1:7" ht="75">
      <c r="A44" s="114" t="s">
        <v>114</v>
      </c>
      <c r="B44" s="104" t="s">
        <v>322</v>
      </c>
      <c r="C44" s="138" t="s">
        <v>215</v>
      </c>
      <c r="D44" s="134" t="s">
        <v>215</v>
      </c>
      <c r="E44" s="134" t="s">
        <v>215</v>
      </c>
      <c r="F44" s="134" t="e">
        <f t="shared" si="0"/>
        <v>#VALUE!</v>
      </c>
      <c r="G44" s="135" t="e">
        <f t="shared" si="1"/>
        <v>#VALUE!</v>
      </c>
    </row>
    <row r="45" spans="1:16" ht="18" customHeight="1">
      <c r="A45" s="114" t="s">
        <v>323</v>
      </c>
      <c r="B45" s="104">
        <v>3157</v>
      </c>
      <c r="C45" s="138">
        <v>-2645</v>
      </c>
      <c r="D45" s="134">
        <v>-3840</v>
      </c>
      <c r="E45" s="134">
        <v>-3154</v>
      </c>
      <c r="F45" s="134">
        <f t="shared" si="0"/>
        <v>686</v>
      </c>
      <c r="G45" s="135">
        <f t="shared" si="1"/>
        <v>82.1</v>
      </c>
      <c r="H45" s="365"/>
      <c r="I45" s="365"/>
      <c r="J45" s="365"/>
      <c r="K45" s="365"/>
      <c r="L45" s="365"/>
      <c r="M45" s="365"/>
      <c r="N45" s="365"/>
      <c r="O45" s="365"/>
      <c r="P45" s="365"/>
    </row>
    <row r="46" spans="1:16" ht="18" customHeight="1">
      <c r="A46" s="139" t="s">
        <v>324</v>
      </c>
      <c r="B46" s="104" t="s">
        <v>325</v>
      </c>
      <c r="C46" s="138">
        <v>-1138</v>
      </c>
      <c r="D46" s="138">
        <v>-1430</v>
      </c>
      <c r="E46" s="138">
        <v>-1413</v>
      </c>
      <c r="F46" s="134">
        <f t="shared" si="0"/>
        <v>17</v>
      </c>
      <c r="G46" s="135">
        <f t="shared" si="1"/>
        <v>98.8</v>
      </c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39" t="s">
        <v>708</v>
      </c>
      <c r="B47" s="104" t="s">
        <v>326</v>
      </c>
      <c r="C47" s="138">
        <v>-240</v>
      </c>
      <c r="D47" s="138">
        <v>-80</v>
      </c>
      <c r="E47" s="138">
        <v>-80</v>
      </c>
      <c r="F47" s="134">
        <f t="shared" si="0"/>
        <v>0</v>
      </c>
      <c r="G47" s="135">
        <f t="shared" si="1"/>
        <v>100</v>
      </c>
      <c r="H47" s="2"/>
      <c r="I47" s="2"/>
      <c r="J47" s="2"/>
      <c r="K47" s="2"/>
      <c r="L47" s="2"/>
      <c r="M47" s="2"/>
      <c r="N47" s="2"/>
      <c r="O47" s="2"/>
      <c r="P47" s="2"/>
    </row>
    <row r="48" spans="1:16" ht="18" customHeight="1">
      <c r="A48" s="139" t="s">
        <v>327</v>
      </c>
      <c r="B48" s="104" t="s">
        <v>328</v>
      </c>
      <c r="C48" s="138">
        <v>-260</v>
      </c>
      <c r="D48" s="138">
        <v>-360</v>
      </c>
      <c r="E48" s="138">
        <v>-298</v>
      </c>
      <c r="F48" s="134">
        <f t="shared" si="0"/>
        <v>62</v>
      </c>
      <c r="G48" s="135">
        <f t="shared" si="1"/>
        <v>82.8</v>
      </c>
      <c r="H48" s="2"/>
      <c r="I48" s="2"/>
      <c r="J48" s="2"/>
      <c r="K48" s="2"/>
      <c r="L48" s="2"/>
      <c r="M48" s="2"/>
      <c r="N48" s="2"/>
      <c r="O48" s="2"/>
      <c r="P48" s="2"/>
    </row>
    <row r="49" spans="1:15" ht="18" customHeight="1">
      <c r="A49" s="139" t="s">
        <v>329</v>
      </c>
      <c r="B49" s="104" t="s">
        <v>330</v>
      </c>
      <c r="C49" s="138">
        <v>-6</v>
      </c>
      <c r="D49" s="138">
        <v>-20</v>
      </c>
      <c r="E49" s="134">
        <v>-7</v>
      </c>
      <c r="F49" s="134">
        <f t="shared" si="0"/>
        <v>13</v>
      </c>
      <c r="G49" s="135">
        <f t="shared" si="1"/>
        <v>35</v>
      </c>
      <c r="H49" s="365"/>
      <c r="I49" s="365"/>
      <c r="J49" s="365"/>
      <c r="K49" s="365"/>
      <c r="L49" s="365"/>
      <c r="M49" s="365"/>
      <c r="N49" s="365"/>
      <c r="O49" s="365"/>
    </row>
    <row r="50" spans="1:15" ht="18" customHeight="1">
      <c r="A50" s="139" t="s">
        <v>281</v>
      </c>
      <c r="B50" s="104" t="s">
        <v>331</v>
      </c>
      <c r="C50" s="138">
        <v>-1001</v>
      </c>
      <c r="D50" s="138">
        <v>-1950</v>
      </c>
      <c r="E50" s="138">
        <v>-1356</v>
      </c>
      <c r="F50" s="134">
        <f t="shared" si="0"/>
        <v>594</v>
      </c>
      <c r="G50" s="135">
        <f t="shared" si="1"/>
        <v>69.5</v>
      </c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114" t="s">
        <v>332</v>
      </c>
      <c r="B51" s="104">
        <v>3160</v>
      </c>
      <c r="C51" s="138"/>
      <c r="D51" s="138"/>
      <c r="E51" s="138"/>
      <c r="F51" s="134"/>
      <c r="G51" s="135"/>
      <c r="H51" s="2"/>
      <c r="I51" s="2"/>
      <c r="J51" s="2"/>
      <c r="K51" s="2"/>
      <c r="L51" s="2"/>
      <c r="M51" s="2"/>
      <c r="N51" s="2"/>
      <c r="O51" s="2"/>
    </row>
    <row r="52" spans="1:10" ht="18" customHeight="1">
      <c r="A52" s="114" t="s">
        <v>333</v>
      </c>
      <c r="B52" s="104">
        <v>3170</v>
      </c>
      <c r="C52" s="138">
        <v>-2266</v>
      </c>
      <c r="D52" s="134">
        <v>-4972</v>
      </c>
      <c r="E52" s="134">
        <v>-3246</v>
      </c>
      <c r="F52" s="134">
        <f>E52-D52</f>
        <v>1726</v>
      </c>
      <c r="G52" s="135">
        <f>(E52/D52)*100</f>
        <v>65.3</v>
      </c>
      <c r="H52" s="365"/>
      <c r="I52" s="365"/>
      <c r="J52" s="365"/>
    </row>
    <row r="53" spans="1:7" ht="30" customHeight="1">
      <c r="A53" s="113" t="s">
        <v>120</v>
      </c>
      <c r="B53" s="120">
        <v>3195</v>
      </c>
      <c r="C53" s="117">
        <f>SUM(C7,C28)</f>
        <v>525</v>
      </c>
      <c r="D53" s="117">
        <f>SUM(D7,D28)</f>
        <v>2373</v>
      </c>
      <c r="E53" s="117">
        <f>SUM(E7,E28)</f>
        <v>1264</v>
      </c>
      <c r="F53" s="132">
        <f>E53-D53</f>
        <v>-1109</v>
      </c>
      <c r="G53" s="133">
        <f>(E53/D53)*100</f>
        <v>53.3</v>
      </c>
    </row>
    <row r="54" spans="1:7" ht="24.75" customHeight="1">
      <c r="A54" s="137" t="s">
        <v>334</v>
      </c>
      <c r="B54" s="141"/>
      <c r="C54" s="142"/>
      <c r="D54" s="366"/>
      <c r="E54" s="366"/>
      <c r="F54" s="366"/>
      <c r="G54" s="366"/>
    </row>
    <row r="55" spans="1:7" ht="37.5">
      <c r="A55" s="113" t="s">
        <v>335</v>
      </c>
      <c r="B55" s="120">
        <v>3200</v>
      </c>
      <c r="C55" s="117">
        <f>SUM(C56,C58:C62)</f>
        <v>18847</v>
      </c>
      <c r="D55" s="117">
        <f>SUM(D56,D58:D62)</f>
        <v>17273</v>
      </c>
      <c r="E55" s="117">
        <f>SUM(E56,E58:E62)</f>
        <v>18376</v>
      </c>
      <c r="F55" s="132">
        <f aca="true" t="shared" si="2" ref="F55:F72">E55-D55</f>
        <v>1103</v>
      </c>
      <c r="G55" s="133">
        <f aca="true" t="shared" si="3" ref="G55:G72">(E55/D55)*100</f>
        <v>106.4</v>
      </c>
    </row>
    <row r="56" spans="1:7" ht="37.5">
      <c r="A56" s="114" t="s">
        <v>336</v>
      </c>
      <c r="B56" s="104">
        <v>3210</v>
      </c>
      <c r="C56" s="134"/>
      <c r="D56" s="134"/>
      <c r="E56" s="134"/>
      <c r="F56" s="134">
        <f t="shared" si="2"/>
        <v>0</v>
      </c>
      <c r="G56" s="135" t="e">
        <f t="shared" si="3"/>
        <v>#DIV/0!</v>
      </c>
    </row>
    <row r="57" spans="1:7" ht="18.75">
      <c r="A57" s="114" t="s">
        <v>337</v>
      </c>
      <c r="B57" s="104">
        <v>3215</v>
      </c>
      <c r="C57" s="134"/>
      <c r="D57" s="134"/>
      <c r="E57" s="134"/>
      <c r="F57" s="134">
        <f t="shared" si="2"/>
        <v>0</v>
      </c>
      <c r="G57" s="135" t="e">
        <f t="shared" si="3"/>
        <v>#DIV/0!</v>
      </c>
    </row>
    <row r="58" spans="1:7" ht="18.75">
      <c r="A58" s="114" t="s">
        <v>338</v>
      </c>
      <c r="B58" s="104">
        <v>3220</v>
      </c>
      <c r="C58" s="134"/>
      <c r="D58" s="134"/>
      <c r="E58" s="134"/>
      <c r="F58" s="134">
        <f t="shared" si="2"/>
        <v>0</v>
      </c>
      <c r="G58" s="135" t="e">
        <f t="shared" si="3"/>
        <v>#DIV/0!</v>
      </c>
    </row>
    <row r="59" spans="1:7" ht="18" customHeight="1">
      <c r="A59" s="114" t="s">
        <v>339</v>
      </c>
      <c r="B59" s="104">
        <v>3225</v>
      </c>
      <c r="C59" s="134"/>
      <c r="D59" s="134"/>
      <c r="E59" s="134"/>
      <c r="F59" s="134">
        <f t="shared" si="2"/>
        <v>0</v>
      </c>
      <c r="G59" s="135" t="e">
        <f t="shared" si="3"/>
        <v>#DIV/0!</v>
      </c>
    </row>
    <row r="60" spans="1:7" ht="18" customHeight="1">
      <c r="A60" s="114" t="s">
        <v>340</v>
      </c>
      <c r="B60" s="104">
        <v>3230</v>
      </c>
      <c r="C60" s="134"/>
      <c r="D60" s="134"/>
      <c r="E60" s="134"/>
      <c r="F60" s="134">
        <f t="shared" si="2"/>
        <v>0</v>
      </c>
      <c r="G60" s="135" t="e">
        <f t="shared" si="3"/>
        <v>#DIV/0!</v>
      </c>
    </row>
    <row r="61" spans="1:7" ht="18" customHeight="1">
      <c r="A61" s="114" t="s">
        <v>341</v>
      </c>
      <c r="B61" s="104">
        <v>3235</v>
      </c>
      <c r="C61" s="134"/>
      <c r="D61" s="134"/>
      <c r="E61" s="134"/>
      <c r="F61" s="134">
        <f t="shared" si="2"/>
        <v>0</v>
      </c>
      <c r="G61" s="135" t="e">
        <f t="shared" si="3"/>
        <v>#DIV/0!</v>
      </c>
    </row>
    <row r="62" spans="1:7" ht="18" customHeight="1">
      <c r="A62" s="114" t="s">
        <v>342</v>
      </c>
      <c r="B62" s="104">
        <v>3240</v>
      </c>
      <c r="C62" s="134">
        <v>18847</v>
      </c>
      <c r="D62" s="134">
        <v>17273</v>
      </c>
      <c r="E62" s="134">
        <v>18376</v>
      </c>
      <c r="F62" s="134">
        <f t="shared" si="2"/>
        <v>1103</v>
      </c>
      <c r="G62" s="135">
        <f t="shared" si="3"/>
        <v>106.4</v>
      </c>
    </row>
    <row r="63" spans="1:7" ht="37.5">
      <c r="A63" s="113" t="s">
        <v>343</v>
      </c>
      <c r="B63" s="120">
        <v>3255</v>
      </c>
      <c r="C63" s="117">
        <f>SUM(C64,C66,C70,C71)</f>
        <v>-18847</v>
      </c>
      <c r="D63" s="117">
        <f>SUM(D64,D66,D70,D71)</f>
        <v>-17273</v>
      </c>
      <c r="E63" s="117">
        <f>SUM(E64,E66,E70,E71)</f>
        <v>-18376</v>
      </c>
      <c r="F63" s="132">
        <f t="shared" si="2"/>
        <v>-1103</v>
      </c>
      <c r="G63" s="133">
        <f t="shared" si="3"/>
        <v>106.4</v>
      </c>
    </row>
    <row r="64" spans="1:7" ht="37.5">
      <c r="A64" s="114" t="s">
        <v>344</v>
      </c>
      <c r="B64" s="104">
        <v>3260</v>
      </c>
      <c r="C64" s="138" t="s">
        <v>215</v>
      </c>
      <c r="D64" s="134" t="s">
        <v>215</v>
      </c>
      <c r="E64" s="134" t="s">
        <v>215</v>
      </c>
      <c r="F64" s="134" t="e">
        <f t="shared" si="2"/>
        <v>#VALUE!</v>
      </c>
      <c r="G64" s="135" t="e">
        <f t="shared" si="3"/>
        <v>#VALUE!</v>
      </c>
    </row>
    <row r="65" spans="1:7" ht="18.75">
      <c r="A65" s="114" t="s">
        <v>345</v>
      </c>
      <c r="B65" s="104">
        <v>3265</v>
      </c>
      <c r="C65" s="138" t="s">
        <v>215</v>
      </c>
      <c r="D65" s="134" t="s">
        <v>215</v>
      </c>
      <c r="E65" s="134" t="s">
        <v>215</v>
      </c>
      <c r="F65" s="134" t="e">
        <f t="shared" si="2"/>
        <v>#VALUE!</v>
      </c>
      <c r="G65" s="135" t="e">
        <f t="shared" si="3"/>
        <v>#VALUE!</v>
      </c>
    </row>
    <row r="66" spans="1:7" ht="37.5">
      <c r="A66" s="114" t="s">
        <v>346</v>
      </c>
      <c r="B66" s="104">
        <v>3270</v>
      </c>
      <c r="C66" s="138">
        <v>-18519</v>
      </c>
      <c r="D66" s="134">
        <v>-13319</v>
      </c>
      <c r="E66" s="134">
        <v>-17118</v>
      </c>
      <c r="F66" s="134">
        <f t="shared" si="2"/>
        <v>-3799</v>
      </c>
      <c r="G66" s="135">
        <f t="shared" si="3"/>
        <v>128.5</v>
      </c>
    </row>
    <row r="67" spans="1:7" ht="18.75">
      <c r="A67" s="114" t="s">
        <v>533</v>
      </c>
      <c r="B67" s="104" t="s">
        <v>347</v>
      </c>
      <c r="C67" s="138">
        <v>-9179</v>
      </c>
      <c r="D67" s="134">
        <v>-13319</v>
      </c>
      <c r="E67" s="134">
        <v>-17118</v>
      </c>
      <c r="F67" s="134">
        <f t="shared" si="2"/>
        <v>-3799</v>
      </c>
      <c r="G67" s="135">
        <f t="shared" si="3"/>
        <v>128.5</v>
      </c>
    </row>
    <row r="68" spans="1:7" ht="18" customHeight="1">
      <c r="A68" s="114" t="s">
        <v>348</v>
      </c>
      <c r="B68" s="104" t="s">
        <v>349</v>
      </c>
      <c r="C68" s="138" t="s">
        <v>215</v>
      </c>
      <c r="D68" s="134" t="s">
        <v>215</v>
      </c>
      <c r="E68" s="134" t="s">
        <v>215</v>
      </c>
      <c r="F68" s="134" t="e">
        <f t="shared" si="2"/>
        <v>#VALUE!</v>
      </c>
      <c r="G68" s="135" t="e">
        <f t="shared" si="3"/>
        <v>#VALUE!</v>
      </c>
    </row>
    <row r="69" spans="1:7" ht="37.5">
      <c r="A69" s="114" t="s">
        <v>350</v>
      </c>
      <c r="B69" s="104" t="s">
        <v>351</v>
      </c>
      <c r="C69" s="138">
        <v>-9340</v>
      </c>
      <c r="D69" s="134" t="s">
        <v>215</v>
      </c>
      <c r="E69" s="134" t="s">
        <v>215</v>
      </c>
      <c r="F69" s="134" t="e">
        <f t="shared" si="2"/>
        <v>#VALUE!</v>
      </c>
      <c r="G69" s="135" t="e">
        <f t="shared" si="3"/>
        <v>#VALUE!</v>
      </c>
    </row>
    <row r="70" spans="1:7" ht="18" customHeight="1">
      <c r="A70" s="114" t="s">
        <v>352</v>
      </c>
      <c r="B70" s="104">
        <v>3280</v>
      </c>
      <c r="C70" s="138" t="s">
        <v>215</v>
      </c>
      <c r="D70" s="134" t="s">
        <v>215</v>
      </c>
      <c r="E70" s="134" t="s">
        <v>215</v>
      </c>
      <c r="F70" s="134" t="e">
        <f t="shared" si="2"/>
        <v>#VALUE!</v>
      </c>
      <c r="G70" s="135" t="e">
        <f t="shared" si="3"/>
        <v>#VALUE!</v>
      </c>
    </row>
    <row r="71" spans="1:7" ht="18" customHeight="1">
      <c r="A71" s="114" t="s">
        <v>323</v>
      </c>
      <c r="B71" s="104">
        <v>3290</v>
      </c>
      <c r="C71" s="138">
        <v>-328</v>
      </c>
      <c r="D71" s="134">
        <v>-3954</v>
      </c>
      <c r="E71" s="134">
        <v>-1258</v>
      </c>
      <c r="F71" s="134">
        <f t="shared" si="2"/>
        <v>2696</v>
      </c>
      <c r="G71" s="135">
        <f t="shared" si="3"/>
        <v>31.8</v>
      </c>
    </row>
    <row r="72" spans="1:7" ht="18.75">
      <c r="A72" s="141" t="s">
        <v>121</v>
      </c>
      <c r="B72" s="120">
        <v>3295</v>
      </c>
      <c r="C72" s="117">
        <f>SUM(C55,C63)</f>
        <v>0</v>
      </c>
      <c r="D72" s="117">
        <f>SUM(D55,D63)</f>
        <v>0</v>
      </c>
      <c r="E72" s="117">
        <f>SUM(E55,E63)</f>
        <v>0</v>
      </c>
      <c r="F72" s="132">
        <f t="shared" si="2"/>
        <v>0</v>
      </c>
      <c r="G72" s="133" t="e">
        <f t="shared" si="3"/>
        <v>#DIV/0!</v>
      </c>
    </row>
    <row r="73" spans="1:7" ht="18.75">
      <c r="A73" s="137" t="s">
        <v>353</v>
      </c>
      <c r="B73" s="141"/>
      <c r="C73" s="142"/>
      <c r="D73" s="142"/>
      <c r="E73" s="142"/>
      <c r="F73" s="134"/>
      <c r="G73" s="135"/>
    </row>
    <row r="74" spans="1:7" ht="37.5">
      <c r="A74" s="113" t="s">
        <v>354</v>
      </c>
      <c r="B74" s="120">
        <v>3300</v>
      </c>
      <c r="C74" s="117">
        <f>SUM(C75,C76,C80)</f>
        <v>0</v>
      </c>
      <c r="D74" s="117">
        <f>SUM(D75,D76,D80)</f>
        <v>2</v>
      </c>
      <c r="E74" s="117">
        <f>SUM(E75,E76,E80)</f>
        <v>0</v>
      </c>
      <c r="F74" s="132">
        <f aca="true" t="shared" si="4" ref="F74:F95">E74-D74</f>
        <v>-2</v>
      </c>
      <c r="G74" s="133">
        <f aca="true" t="shared" si="5" ref="G74:G95">(E74/D74)*100</f>
        <v>0</v>
      </c>
    </row>
    <row r="75" spans="1:7" ht="18" customHeight="1">
      <c r="A75" s="114" t="s">
        <v>355</v>
      </c>
      <c r="B75" s="104">
        <v>3305</v>
      </c>
      <c r="C75" s="134"/>
      <c r="D75" s="134"/>
      <c r="E75" s="134"/>
      <c r="F75" s="134">
        <f t="shared" si="4"/>
        <v>0</v>
      </c>
      <c r="G75" s="135" t="e">
        <f t="shared" si="5"/>
        <v>#DIV/0!</v>
      </c>
    </row>
    <row r="76" spans="1:7" ht="37.5">
      <c r="A76" s="114" t="s">
        <v>356</v>
      </c>
      <c r="B76" s="104">
        <v>3310</v>
      </c>
      <c r="C76" s="140">
        <f>SUM(C77:C79)</f>
        <v>0</v>
      </c>
      <c r="D76" s="140">
        <f>SUM(D77:D79)</f>
        <v>0</v>
      </c>
      <c r="E76" s="140">
        <f>SUM(E77:E79)</f>
        <v>0</v>
      </c>
      <c r="F76" s="134">
        <f t="shared" si="4"/>
        <v>0</v>
      </c>
      <c r="G76" s="135" t="e">
        <f t="shared" si="5"/>
        <v>#DIV/0!</v>
      </c>
    </row>
    <row r="77" spans="1:7" ht="18" customHeight="1">
      <c r="A77" s="114" t="s">
        <v>310</v>
      </c>
      <c r="B77" s="104">
        <v>3311</v>
      </c>
      <c r="C77" s="134"/>
      <c r="D77" s="134"/>
      <c r="E77" s="134"/>
      <c r="F77" s="134">
        <f t="shared" si="4"/>
        <v>0</v>
      </c>
      <c r="G77" s="135" t="e">
        <f t="shared" si="5"/>
        <v>#DIV/0!</v>
      </c>
    </row>
    <row r="78" spans="1:7" ht="18" customHeight="1">
      <c r="A78" s="114" t="s">
        <v>311</v>
      </c>
      <c r="B78" s="104">
        <v>3312</v>
      </c>
      <c r="C78" s="134"/>
      <c r="D78" s="134"/>
      <c r="E78" s="134"/>
      <c r="F78" s="134">
        <f t="shared" si="4"/>
        <v>0</v>
      </c>
      <c r="G78" s="135" t="e">
        <f t="shared" si="5"/>
        <v>#DIV/0!</v>
      </c>
    </row>
    <row r="79" spans="1:7" ht="18" customHeight="1">
      <c r="A79" s="114" t="s">
        <v>312</v>
      </c>
      <c r="B79" s="104">
        <v>3313</v>
      </c>
      <c r="C79" s="134"/>
      <c r="D79" s="134"/>
      <c r="E79" s="134"/>
      <c r="F79" s="134">
        <f t="shared" si="4"/>
        <v>0</v>
      </c>
      <c r="G79" s="135" t="e">
        <f t="shared" si="5"/>
        <v>#DIV/0!</v>
      </c>
    </row>
    <row r="80" spans="1:7" ht="18" customHeight="1">
      <c r="A80" s="114" t="s">
        <v>357</v>
      </c>
      <c r="B80" s="104">
        <v>3320</v>
      </c>
      <c r="C80" s="134"/>
      <c r="D80" s="134">
        <v>2</v>
      </c>
      <c r="E80" s="134"/>
      <c r="F80" s="134">
        <f t="shared" si="4"/>
        <v>-2</v>
      </c>
      <c r="G80" s="135">
        <f t="shared" si="5"/>
        <v>0</v>
      </c>
    </row>
    <row r="81" spans="1:7" ht="25.5" customHeight="1">
      <c r="A81" s="113" t="s">
        <v>358</v>
      </c>
      <c r="B81" s="120">
        <v>3330</v>
      </c>
      <c r="C81" s="313">
        <f>SUM(C82,C83,C87:C90)</f>
        <v>-562</v>
      </c>
      <c r="D81" s="313">
        <f>SUM(D82,D83,D87:D90)</f>
        <v>-200</v>
      </c>
      <c r="E81" s="313">
        <f>SUM(E82,E83,E87:E90)</f>
        <v>-998</v>
      </c>
      <c r="F81" s="132">
        <f t="shared" si="4"/>
        <v>-798</v>
      </c>
      <c r="G81" s="133">
        <f t="shared" si="5"/>
        <v>499</v>
      </c>
    </row>
    <row r="82" spans="1:7" ht="18" customHeight="1">
      <c r="A82" s="114" t="s">
        <v>359</v>
      </c>
      <c r="B82" s="104">
        <v>3335</v>
      </c>
      <c r="C82" s="134" t="s">
        <v>215</v>
      </c>
      <c r="D82" s="134" t="s">
        <v>215</v>
      </c>
      <c r="E82" s="134" t="s">
        <v>215</v>
      </c>
      <c r="F82" s="134" t="e">
        <f t="shared" si="4"/>
        <v>#VALUE!</v>
      </c>
      <c r="G82" s="135" t="e">
        <f t="shared" si="5"/>
        <v>#VALUE!</v>
      </c>
    </row>
    <row r="83" spans="1:7" ht="37.5">
      <c r="A83" s="114" t="s">
        <v>360</v>
      </c>
      <c r="B83" s="104">
        <v>3340</v>
      </c>
      <c r="C83" s="140">
        <f>SUM(C84:C86)</f>
        <v>0</v>
      </c>
      <c r="D83" s="140">
        <f>SUM(D84:D86)</f>
        <v>0</v>
      </c>
      <c r="E83" s="140">
        <f>SUM(E84:E86)</f>
        <v>0</v>
      </c>
      <c r="F83" s="134">
        <f t="shared" si="4"/>
        <v>0</v>
      </c>
      <c r="G83" s="135" t="e">
        <f t="shared" si="5"/>
        <v>#DIV/0!</v>
      </c>
    </row>
    <row r="84" spans="1:7" ht="18" customHeight="1">
      <c r="A84" s="114" t="s">
        <v>310</v>
      </c>
      <c r="B84" s="104">
        <v>3341</v>
      </c>
      <c r="C84" s="134" t="s">
        <v>215</v>
      </c>
      <c r="D84" s="134" t="s">
        <v>215</v>
      </c>
      <c r="E84" s="134" t="s">
        <v>215</v>
      </c>
      <c r="F84" s="134" t="e">
        <f t="shared" si="4"/>
        <v>#VALUE!</v>
      </c>
      <c r="G84" s="135" t="e">
        <f t="shared" si="5"/>
        <v>#VALUE!</v>
      </c>
    </row>
    <row r="85" spans="1:7" ht="18" customHeight="1">
      <c r="A85" s="114" t="s">
        <v>311</v>
      </c>
      <c r="B85" s="104">
        <v>3342</v>
      </c>
      <c r="C85" s="134" t="s">
        <v>215</v>
      </c>
      <c r="D85" s="134" t="s">
        <v>215</v>
      </c>
      <c r="E85" s="134" t="s">
        <v>215</v>
      </c>
      <c r="F85" s="134" t="e">
        <f t="shared" si="4"/>
        <v>#VALUE!</v>
      </c>
      <c r="G85" s="135" t="e">
        <f t="shared" si="5"/>
        <v>#VALUE!</v>
      </c>
    </row>
    <row r="86" spans="1:7" ht="18" customHeight="1">
      <c r="A86" s="114" t="s">
        <v>312</v>
      </c>
      <c r="B86" s="104">
        <v>3343</v>
      </c>
      <c r="C86" s="134" t="s">
        <v>215</v>
      </c>
      <c r="D86" s="134" t="s">
        <v>215</v>
      </c>
      <c r="E86" s="134" t="s">
        <v>215</v>
      </c>
      <c r="F86" s="134" t="e">
        <f t="shared" si="4"/>
        <v>#VALUE!</v>
      </c>
      <c r="G86" s="135" t="e">
        <f t="shared" si="5"/>
        <v>#VALUE!</v>
      </c>
    </row>
    <row r="87" spans="1:7" ht="18" customHeight="1">
      <c r="A87" s="114" t="s">
        <v>361</v>
      </c>
      <c r="B87" s="104">
        <v>3350</v>
      </c>
      <c r="C87" s="134" t="s">
        <v>215</v>
      </c>
      <c r="D87" s="134" t="s">
        <v>215</v>
      </c>
      <c r="E87" s="134" t="s">
        <v>215</v>
      </c>
      <c r="F87" s="134" t="e">
        <f t="shared" si="4"/>
        <v>#VALUE!</v>
      </c>
      <c r="G87" s="135" t="e">
        <f t="shared" si="5"/>
        <v>#VALUE!</v>
      </c>
    </row>
    <row r="88" spans="1:7" ht="21.75" customHeight="1">
      <c r="A88" s="114" t="s">
        <v>362</v>
      </c>
      <c r="B88" s="104">
        <v>3360</v>
      </c>
      <c r="C88" s="134">
        <v>-125</v>
      </c>
      <c r="D88" s="134">
        <v>-200</v>
      </c>
      <c r="E88" s="134">
        <v>-64</v>
      </c>
      <c r="F88" s="134">
        <f t="shared" si="4"/>
        <v>136</v>
      </c>
      <c r="G88" s="135">
        <f t="shared" si="5"/>
        <v>32</v>
      </c>
    </row>
    <row r="89" spans="1:7" ht="27" customHeight="1">
      <c r="A89" s="114" t="s">
        <v>363</v>
      </c>
      <c r="B89" s="104">
        <v>3370</v>
      </c>
      <c r="C89" s="134" t="s">
        <v>215</v>
      </c>
      <c r="D89" s="134" t="s">
        <v>215</v>
      </c>
      <c r="E89" s="134" t="s">
        <v>215</v>
      </c>
      <c r="F89" s="134" t="e">
        <f t="shared" si="4"/>
        <v>#VALUE!</v>
      </c>
      <c r="G89" s="135" t="e">
        <f t="shared" si="5"/>
        <v>#VALUE!</v>
      </c>
    </row>
    <row r="90" spans="1:7" ht="18" customHeight="1">
      <c r="A90" s="114" t="s">
        <v>323</v>
      </c>
      <c r="B90" s="104">
        <v>3380</v>
      </c>
      <c r="C90" s="134">
        <v>-437</v>
      </c>
      <c r="D90" s="134" t="s">
        <v>215</v>
      </c>
      <c r="E90" s="134">
        <v>-934</v>
      </c>
      <c r="F90" s="134" t="e">
        <f t="shared" si="4"/>
        <v>#VALUE!</v>
      </c>
      <c r="G90" s="135" t="e">
        <f t="shared" si="5"/>
        <v>#VALUE!</v>
      </c>
    </row>
    <row r="91" spans="1:7" ht="18.75">
      <c r="A91" s="113" t="s">
        <v>364</v>
      </c>
      <c r="B91" s="120">
        <v>3395</v>
      </c>
      <c r="C91" s="117">
        <f>SUM(C74,C81)</f>
        <v>-562</v>
      </c>
      <c r="D91" s="117">
        <f>SUM(D74,D81)</f>
        <v>-198</v>
      </c>
      <c r="E91" s="117">
        <f>SUM(E74,E81)</f>
        <v>-998</v>
      </c>
      <c r="F91" s="132">
        <f t="shared" si="4"/>
        <v>-800</v>
      </c>
      <c r="G91" s="133">
        <f t="shared" si="5"/>
        <v>504</v>
      </c>
    </row>
    <row r="92" spans="1:7" ht="18.75">
      <c r="A92" s="143" t="s">
        <v>365</v>
      </c>
      <c r="B92" s="120">
        <v>3400</v>
      </c>
      <c r="C92" s="117">
        <f>SUM(C53,C72,C91)</f>
        <v>-37</v>
      </c>
      <c r="D92" s="117">
        <f>SUM(D53,D72,D91)</f>
        <v>2175</v>
      </c>
      <c r="E92" s="117">
        <f>SUM(E53,E72,E91)</f>
        <v>266</v>
      </c>
      <c r="F92" s="132">
        <f t="shared" si="4"/>
        <v>-1909</v>
      </c>
      <c r="G92" s="133">
        <f t="shared" si="5"/>
        <v>12.2</v>
      </c>
    </row>
    <row r="93" spans="1:7" ht="19.5" customHeight="1">
      <c r="A93" s="114" t="s">
        <v>118</v>
      </c>
      <c r="B93" s="104">
        <v>3405</v>
      </c>
      <c r="C93" s="134">
        <v>615</v>
      </c>
      <c r="D93" s="134">
        <v>342</v>
      </c>
      <c r="E93" s="134">
        <v>578</v>
      </c>
      <c r="F93" s="134">
        <f t="shared" si="4"/>
        <v>236</v>
      </c>
      <c r="G93" s="135">
        <f t="shared" si="5"/>
        <v>169</v>
      </c>
    </row>
    <row r="94" spans="1:7" ht="37.5">
      <c r="A94" s="144" t="s">
        <v>366</v>
      </c>
      <c r="B94" s="104">
        <v>3410</v>
      </c>
      <c r="C94" s="134"/>
      <c r="D94" s="134"/>
      <c r="E94" s="134"/>
      <c r="F94" s="134">
        <f t="shared" si="4"/>
        <v>0</v>
      </c>
      <c r="G94" s="135" t="e">
        <f t="shared" si="5"/>
        <v>#DIV/0!</v>
      </c>
    </row>
    <row r="95" spans="1:7" ht="33" customHeight="1">
      <c r="A95" s="114" t="s">
        <v>124</v>
      </c>
      <c r="B95" s="104">
        <v>3415</v>
      </c>
      <c r="C95" s="145">
        <f>SUM(C93,C92,C94)</f>
        <v>578</v>
      </c>
      <c r="D95" s="145">
        <f>SUM(D93,D92,D94)</f>
        <v>2517</v>
      </c>
      <c r="E95" s="145">
        <f>SUM(E93,E92,E94)</f>
        <v>844</v>
      </c>
      <c r="F95" s="134">
        <f t="shared" si="4"/>
        <v>-1673</v>
      </c>
      <c r="G95" s="135">
        <f t="shared" si="5"/>
        <v>33.5</v>
      </c>
    </row>
    <row r="96" spans="1:7" ht="19.5" customHeight="1">
      <c r="A96" s="6"/>
      <c r="B96" s="2"/>
      <c r="C96" s="26"/>
      <c r="D96" s="26"/>
      <c r="E96" s="26"/>
      <c r="F96" s="26"/>
      <c r="G96" s="52"/>
    </row>
    <row r="97" spans="1:7" ht="19.5" customHeight="1">
      <c r="A97" s="6"/>
      <c r="B97" s="2"/>
      <c r="C97" s="26"/>
      <c r="D97" s="26"/>
      <c r="E97" s="26"/>
      <c r="F97" s="26"/>
      <c r="G97" s="52"/>
    </row>
    <row r="98" spans="1:7" ht="19.5" customHeight="1">
      <c r="A98" s="6"/>
      <c r="B98" s="2"/>
      <c r="C98" s="26"/>
      <c r="D98" s="26"/>
      <c r="E98" s="26"/>
      <c r="F98" s="26"/>
      <c r="G98" s="52"/>
    </row>
    <row r="99" spans="1:7" ht="19.5" customHeight="1">
      <c r="A99" s="6"/>
      <c r="B99" s="2"/>
      <c r="C99" s="26"/>
      <c r="D99" s="26"/>
      <c r="E99" s="26"/>
      <c r="F99" s="26"/>
      <c r="G99" s="52"/>
    </row>
    <row r="100" spans="1:7" s="34" customFormat="1" ht="18.75">
      <c r="A100"/>
      <c r="B100"/>
      <c r="C100"/>
      <c r="D100"/>
      <c r="E100" s="53"/>
      <c r="F100"/>
      <c r="G100"/>
    </row>
    <row r="101" spans="1:7" s="1" customFormat="1" ht="27.75" customHeight="1">
      <c r="A101" s="50"/>
      <c r="B101" s="47"/>
      <c r="C101" s="47"/>
      <c r="D101" s="47"/>
      <c r="E101" s="47"/>
      <c r="F101" s="47"/>
      <c r="G101" s="47"/>
    </row>
    <row r="102" spans="1:7" ht="18" customHeight="1">
      <c r="A102" s="30" t="s">
        <v>367</v>
      </c>
      <c r="B102" s="2"/>
      <c r="C102" s="340" t="s">
        <v>195</v>
      </c>
      <c r="D102" s="340"/>
      <c r="E102" s="24"/>
      <c r="F102" s="341" t="s">
        <v>196</v>
      </c>
      <c r="G102" s="341"/>
    </row>
    <row r="103" spans="1:7" ht="18.75" customHeight="1">
      <c r="A103" s="45" t="s">
        <v>291</v>
      </c>
      <c r="B103" s="1"/>
      <c r="C103" s="45" t="s">
        <v>292</v>
      </c>
      <c r="D103" s="24"/>
      <c r="E103" s="45"/>
      <c r="F103" s="335" t="s">
        <v>270</v>
      </c>
      <c r="G103" s="335"/>
    </row>
  </sheetData>
  <sheetProtection selectLockedCells="1" selectUnlockedCells="1"/>
  <mergeCells count="13">
    <mergeCell ref="A1:G1"/>
    <mergeCell ref="A3:A4"/>
    <mergeCell ref="B3:B4"/>
    <mergeCell ref="C3:C4"/>
    <mergeCell ref="D3:G3"/>
    <mergeCell ref="B6:G6"/>
    <mergeCell ref="F103:G103"/>
    <mergeCell ref="H45:P45"/>
    <mergeCell ref="H49:O49"/>
    <mergeCell ref="H52:J52"/>
    <mergeCell ref="D54:G54"/>
    <mergeCell ref="C102:D102"/>
    <mergeCell ref="F102:G102"/>
  </mergeCells>
  <printOptions/>
  <pageMargins left="0.7875" right="0.39375" top="0.39375" bottom="0.3541666666666667" header="0.5118055555555555" footer="0.5118055555555555"/>
  <pageSetup fitToHeight="0" fitToWidth="1" horizontalDpi="600" verticalDpi="600" orientation="landscape" paperSize="9" scale="68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19"/>
  <sheetViews>
    <sheetView view="pageBreakPreview" zoomScaleNormal="83" zoomScaleSheetLayoutView="100" zoomScalePageLayoutView="0" workbookViewId="0" topLeftCell="A10">
      <selection activeCell="E11" sqref="E11"/>
    </sheetView>
  </sheetViews>
  <sheetFormatPr defaultColWidth="8.625" defaultRowHeight="12.75"/>
  <cols>
    <col min="1" max="1" width="73.375" style="1" customWidth="1"/>
    <col min="2" max="2" width="11.375" style="2" customWidth="1"/>
    <col min="3" max="3" width="18.625" style="2" customWidth="1"/>
    <col min="4" max="4" width="16.375" style="2" customWidth="1"/>
    <col min="5" max="5" width="15.875" style="2" customWidth="1"/>
    <col min="6" max="7" width="14.75390625" style="2" customWidth="1"/>
    <col min="8" max="9" width="9.375" style="1" customWidth="1"/>
    <col min="10" max="16384" width="8.625" style="1" customWidth="1"/>
  </cols>
  <sheetData>
    <row r="1" spans="1:7" ht="18.75">
      <c r="A1" s="335" t="s">
        <v>368</v>
      </c>
      <c r="B1" s="335"/>
      <c r="C1" s="335"/>
      <c r="D1" s="335"/>
      <c r="E1" s="335"/>
      <c r="F1" s="335"/>
      <c r="G1" s="335"/>
    </row>
    <row r="2" spans="1:7" ht="18.75">
      <c r="A2" s="369"/>
      <c r="B2" s="369"/>
      <c r="C2" s="369"/>
      <c r="D2" s="369"/>
      <c r="E2" s="369"/>
      <c r="F2" s="369"/>
      <c r="G2" s="369"/>
    </row>
    <row r="3" spans="1:7" ht="43.5" customHeight="1">
      <c r="A3" s="343" t="s">
        <v>36</v>
      </c>
      <c r="B3" s="344" t="s">
        <v>37</v>
      </c>
      <c r="C3" s="358" t="s">
        <v>38</v>
      </c>
      <c r="D3" s="345" t="s">
        <v>200</v>
      </c>
      <c r="E3" s="345"/>
      <c r="F3" s="345"/>
      <c r="G3" s="345"/>
    </row>
    <row r="4" spans="1:7" ht="56.25" customHeight="1">
      <c r="A4" s="343"/>
      <c r="B4" s="344"/>
      <c r="C4" s="359"/>
      <c r="D4" s="189" t="s">
        <v>40</v>
      </c>
      <c r="E4" s="190" t="s">
        <v>41</v>
      </c>
      <c r="F4" s="103" t="s">
        <v>42</v>
      </c>
      <c r="G4" s="103" t="s">
        <v>43</v>
      </c>
    </row>
    <row r="5" spans="1:7" ht="15.75" customHeight="1">
      <c r="A5" s="104">
        <v>1</v>
      </c>
      <c r="B5" s="103">
        <v>2</v>
      </c>
      <c r="C5" s="104">
        <v>3</v>
      </c>
      <c r="D5" s="104">
        <v>4</v>
      </c>
      <c r="E5" s="103">
        <v>5</v>
      </c>
      <c r="F5" s="104">
        <v>6</v>
      </c>
      <c r="G5" s="103">
        <v>7</v>
      </c>
    </row>
    <row r="6" spans="1:7" s="24" customFormat="1" ht="37.5">
      <c r="A6" s="113" t="s">
        <v>369</v>
      </c>
      <c r="B6" s="131">
        <v>4000</v>
      </c>
      <c r="C6" s="199">
        <f>SUM(C7:C12)</f>
        <v>20248</v>
      </c>
      <c r="D6" s="199">
        <f>SUM(D7:D12)</f>
        <v>63523</v>
      </c>
      <c r="E6" s="199">
        <f>SUM(E7:E12)</f>
        <v>19010</v>
      </c>
      <c r="F6" s="132">
        <f aca="true" t="shared" si="0" ref="F6:F12">E6-D6</f>
        <v>-44513</v>
      </c>
      <c r="G6" s="133">
        <f aca="true" t="shared" si="1" ref="G6:G12">(E6/D6)*100</f>
        <v>29.9</v>
      </c>
    </row>
    <row r="7" spans="1:7" ht="19.5" customHeight="1">
      <c r="A7" s="114" t="s">
        <v>127</v>
      </c>
      <c r="B7" s="112" t="s">
        <v>128</v>
      </c>
      <c r="C7" s="134"/>
      <c r="D7" s="134"/>
      <c r="E7" s="134"/>
      <c r="F7" s="134">
        <f t="shared" si="0"/>
        <v>0</v>
      </c>
      <c r="G7" s="135" t="e">
        <f t="shared" si="1"/>
        <v>#DIV/0!</v>
      </c>
    </row>
    <row r="8" spans="1:14" ht="19.5" customHeight="1">
      <c r="A8" s="114" t="s">
        <v>129</v>
      </c>
      <c r="B8" s="112">
        <v>4020</v>
      </c>
      <c r="C8" s="136">
        <v>11772</v>
      </c>
      <c r="D8" s="134">
        <v>13319</v>
      </c>
      <c r="E8" s="134">
        <v>14836</v>
      </c>
      <c r="F8" s="134">
        <f t="shared" si="0"/>
        <v>1517</v>
      </c>
      <c r="G8" s="135">
        <f t="shared" si="1"/>
        <v>111.4</v>
      </c>
      <c r="N8" s="3"/>
    </row>
    <row r="9" spans="1:13" ht="37.5">
      <c r="A9" s="114" t="s">
        <v>130</v>
      </c>
      <c r="B9" s="112">
        <v>4030</v>
      </c>
      <c r="C9" s="136">
        <v>569</v>
      </c>
      <c r="D9" s="134"/>
      <c r="E9" s="134">
        <v>739</v>
      </c>
      <c r="F9" s="134">
        <f t="shared" si="0"/>
        <v>739</v>
      </c>
      <c r="G9" s="135" t="e">
        <f t="shared" si="1"/>
        <v>#DIV/0!</v>
      </c>
      <c r="M9" s="3"/>
    </row>
    <row r="10" spans="1:7" ht="19.5" customHeight="1">
      <c r="A10" s="114" t="s">
        <v>131</v>
      </c>
      <c r="B10" s="112">
        <v>4040</v>
      </c>
      <c r="C10" s="136">
        <v>247</v>
      </c>
      <c r="D10" s="134"/>
      <c r="E10" s="134">
        <v>3431</v>
      </c>
      <c r="F10" s="134">
        <f t="shared" si="0"/>
        <v>3431</v>
      </c>
      <c r="G10" s="135" t="e">
        <f t="shared" si="1"/>
        <v>#DIV/0!</v>
      </c>
    </row>
    <row r="11" spans="1:7" ht="37.5">
      <c r="A11" s="114" t="s">
        <v>132</v>
      </c>
      <c r="B11" s="112">
        <v>4050</v>
      </c>
      <c r="C11" s="136">
        <v>7660</v>
      </c>
      <c r="D11" s="134">
        <v>49680</v>
      </c>
      <c r="E11" s="134">
        <v>4</v>
      </c>
      <c r="F11" s="134">
        <f t="shared" si="0"/>
        <v>-49676</v>
      </c>
      <c r="G11" s="135">
        <f t="shared" si="1"/>
        <v>0</v>
      </c>
    </row>
    <row r="12" spans="1:7" ht="18.75">
      <c r="A12" s="114" t="s">
        <v>133</v>
      </c>
      <c r="B12" s="112">
        <v>4060</v>
      </c>
      <c r="C12" s="134"/>
      <c r="D12" s="134">
        <v>524</v>
      </c>
      <c r="E12" s="134"/>
      <c r="F12" s="134">
        <f t="shared" si="0"/>
        <v>-524</v>
      </c>
      <c r="G12" s="135">
        <f t="shared" si="1"/>
        <v>0</v>
      </c>
    </row>
    <row r="13" spans="2:7" ht="18.75">
      <c r="B13" s="1"/>
      <c r="C13" s="1"/>
      <c r="D13" s="1"/>
      <c r="E13" s="1"/>
      <c r="F13" s="1"/>
      <c r="G13" s="1"/>
    </row>
    <row r="14" spans="2:7" ht="18.75">
      <c r="B14" s="1"/>
      <c r="C14" s="1"/>
      <c r="D14" s="1"/>
      <c r="E14" s="1"/>
      <c r="F14" s="1"/>
      <c r="G14" s="1"/>
    </row>
    <row r="15" spans="2:7" ht="18.75">
      <c r="B15" s="1"/>
      <c r="C15" s="1"/>
      <c r="D15" s="1"/>
      <c r="E15" s="1"/>
      <c r="F15" s="1"/>
      <c r="G15" s="1"/>
    </row>
    <row r="16" spans="2:7" ht="18.75">
      <c r="B16" s="1"/>
      <c r="C16" s="1"/>
      <c r="D16" s="1"/>
      <c r="E16" s="1"/>
      <c r="F16" s="1"/>
      <c r="G16" s="1"/>
    </row>
    <row r="17" spans="1:8" s="38" customFormat="1" ht="19.5" customHeight="1">
      <c r="A17" s="7"/>
      <c r="E17" s="191"/>
      <c r="H17" s="1"/>
    </row>
    <row r="18" spans="1:7" ht="18.75" customHeight="1">
      <c r="A18" s="30" t="s">
        <v>370</v>
      </c>
      <c r="C18" s="340" t="s">
        <v>195</v>
      </c>
      <c r="D18" s="340"/>
      <c r="E18" s="24"/>
      <c r="F18" s="341" t="s">
        <v>196</v>
      </c>
      <c r="G18" s="341"/>
    </row>
    <row r="19" spans="1:7" s="38" customFormat="1" ht="18" customHeight="1">
      <c r="A19" s="45" t="s">
        <v>291</v>
      </c>
      <c r="B19" s="1"/>
      <c r="C19" s="45" t="s">
        <v>292</v>
      </c>
      <c r="D19" s="24"/>
      <c r="E19" s="45"/>
      <c r="F19" s="335" t="s">
        <v>270</v>
      </c>
      <c r="G19" s="335"/>
    </row>
  </sheetData>
  <sheetProtection selectLockedCells="1" selectUnlockedCells="1"/>
  <mergeCells count="9">
    <mergeCell ref="C18:D18"/>
    <mergeCell ref="F18:G18"/>
    <mergeCell ref="F19:G19"/>
    <mergeCell ref="A1:G1"/>
    <mergeCell ref="A2:G2"/>
    <mergeCell ref="A3:A4"/>
    <mergeCell ref="B3:B4"/>
    <mergeCell ref="C3:C4"/>
    <mergeCell ref="D3:G3"/>
  </mergeCells>
  <printOptions/>
  <pageMargins left="0.7875" right="0.39375" top="0.39375" bottom="0.39375" header="0.5118055555555555" footer="0.5118055555555555"/>
  <pageSetup firstPageNumber="9" useFirstPageNumber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7"/>
  <sheetViews>
    <sheetView zoomScale="83" zoomScaleNormal="83" zoomScaleSheetLayoutView="100" zoomScalePageLayoutView="0" workbookViewId="0" topLeftCell="A34">
      <selection activeCell="C3" sqref="C3:C4"/>
    </sheetView>
  </sheetViews>
  <sheetFormatPr defaultColWidth="8.625" defaultRowHeight="12.75"/>
  <cols>
    <col min="1" max="1" width="68.25390625" style="54" customWidth="1"/>
    <col min="2" max="2" width="10.00390625" style="54" customWidth="1"/>
    <col min="3" max="3" width="17.375" style="54" customWidth="1"/>
    <col min="4" max="4" width="15.625" style="54" customWidth="1"/>
    <col min="5" max="5" width="13.875" style="54" customWidth="1"/>
    <col min="6" max="6" width="16.375" style="54" customWidth="1"/>
    <col min="7" max="7" width="36.25390625" style="54" customWidth="1"/>
    <col min="8" max="8" width="9.375" style="54" customWidth="1"/>
    <col min="9" max="9" width="8.625" style="54" customWidth="1"/>
    <col min="10" max="10" width="26.625" style="54" customWidth="1"/>
    <col min="11" max="16384" width="8.625" style="54" customWidth="1"/>
  </cols>
  <sheetData>
    <row r="1" spans="1:7" ht="19.5" customHeight="1">
      <c r="A1" s="370" t="s">
        <v>143</v>
      </c>
      <c r="B1" s="370"/>
      <c r="C1" s="370"/>
      <c r="D1" s="370"/>
      <c r="E1" s="370"/>
      <c r="F1" s="370"/>
      <c r="G1" s="370"/>
    </row>
    <row r="2" ht="16.5" customHeight="1"/>
    <row r="3" spans="1:7" ht="49.5" customHeight="1">
      <c r="A3" s="371" t="s">
        <v>36</v>
      </c>
      <c r="B3" s="371" t="s">
        <v>295</v>
      </c>
      <c r="C3" s="371" t="s">
        <v>371</v>
      </c>
      <c r="D3" s="344" t="s">
        <v>38</v>
      </c>
      <c r="E3" s="337" t="s">
        <v>372</v>
      </c>
      <c r="F3" s="337"/>
      <c r="G3" s="371" t="s">
        <v>373</v>
      </c>
    </row>
    <row r="4" spans="1:7" ht="46.5" customHeight="1">
      <c r="A4" s="371"/>
      <c r="B4" s="371"/>
      <c r="C4" s="371"/>
      <c r="D4" s="344"/>
      <c r="E4" s="103" t="s">
        <v>374</v>
      </c>
      <c r="F4" s="103" t="s">
        <v>41</v>
      </c>
      <c r="G4" s="371"/>
    </row>
    <row r="5" spans="1:7" s="55" customFormat="1" ht="18.75">
      <c r="A5" s="123">
        <v>1</v>
      </c>
      <c r="B5" s="123">
        <v>2</v>
      </c>
      <c r="C5" s="123">
        <v>3</v>
      </c>
      <c r="D5" s="123">
        <v>4</v>
      </c>
      <c r="E5" s="123">
        <v>6</v>
      </c>
      <c r="F5" s="123">
        <v>7</v>
      </c>
      <c r="G5" s="123">
        <v>8</v>
      </c>
    </row>
    <row r="6" spans="1:7" s="55" customFormat="1" ht="24.75" customHeight="1">
      <c r="A6" s="124" t="s">
        <v>375</v>
      </c>
      <c r="B6" s="124"/>
      <c r="C6" s="123"/>
      <c r="D6" s="123"/>
      <c r="E6" s="123"/>
      <c r="F6" s="123"/>
      <c r="G6" s="123"/>
    </row>
    <row r="7" spans="1:7" ht="67.5" customHeight="1">
      <c r="A7" s="114" t="s">
        <v>376</v>
      </c>
      <c r="B7" s="103">
        <v>5000</v>
      </c>
      <c r="C7" s="121" t="s">
        <v>377</v>
      </c>
      <c r="D7" s="192">
        <f>('I. Фін результат'!C17/'I. Фін результат'!C7)*100</f>
        <v>-1.2</v>
      </c>
      <c r="E7" s="192">
        <f>('I. Фін результат'!D17/'I. Фін результат'!D7)*100</f>
        <v>9.2</v>
      </c>
      <c r="F7" s="192">
        <f>('I. Фін результат'!E17/'I. Фін результат'!E7)*100</f>
        <v>11.1</v>
      </c>
      <c r="G7" s="125"/>
    </row>
    <row r="8" spans="1:7" ht="63" customHeight="1">
      <c r="A8" s="114" t="s">
        <v>378</v>
      </c>
      <c r="B8" s="103">
        <v>5010</v>
      </c>
      <c r="C8" s="121" t="s">
        <v>377</v>
      </c>
      <c r="D8" s="192">
        <f>('I. Фін результат'!C89/'I. Фін результат'!C7)*100</f>
        <v>16</v>
      </c>
      <c r="E8" s="192">
        <f>('I. Фін результат'!D89/'I. Фін результат'!D7)*100</f>
        <v>14.7</v>
      </c>
      <c r="F8" s="192">
        <f>('I. Фін результат'!E89/'I. Фін результат'!E7)*100</f>
        <v>15.1</v>
      </c>
      <c r="G8" s="125"/>
    </row>
    <row r="9" spans="1:7" ht="56.25">
      <c r="A9" s="126" t="s">
        <v>379</v>
      </c>
      <c r="B9" s="103">
        <v>5020</v>
      </c>
      <c r="C9" s="121" t="s">
        <v>377</v>
      </c>
      <c r="D9" s="192">
        <f>('Осн. фін. пок.'!C68/'Осн. фін. пок.'!C145)*100</f>
        <v>7.5</v>
      </c>
      <c r="E9" s="192">
        <f>('Осн. фін. пок.'!D68/'Осн. фін. пок.'!D145)*100</f>
        <v>8.8</v>
      </c>
      <c r="F9" s="192">
        <f>('Осн. фін. пок.'!E68/'Осн. фін. пок.'!E145)*100</f>
        <v>8.2</v>
      </c>
      <c r="G9" s="125" t="s">
        <v>380</v>
      </c>
    </row>
    <row r="10" spans="1:7" ht="56.25">
      <c r="A10" s="126" t="s">
        <v>381</v>
      </c>
      <c r="B10" s="103">
        <v>5030</v>
      </c>
      <c r="C10" s="121" t="s">
        <v>377</v>
      </c>
      <c r="D10" s="192">
        <f>('Осн. фін. пок.'!C68/'Осн. фін. пок.'!C151)*100</f>
        <v>13.4</v>
      </c>
      <c r="E10" s="192">
        <f>('Осн. фін. пок.'!D68/'Осн. фін. пок.'!D151)*100</f>
        <v>16.8</v>
      </c>
      <c r="F10" s="192">
        <f>('Осн. фін. пок.'!E68/'Осн. фін. пок.'!E151)*100</f>
        <v>14.6</v>
      </c>
      <c r="G10" s="125"/>
    </row>
    <row r="11" spans="1:7" ht="75">
      <c r="A11" s="126" t="s">
        <v>382</v>
      </c>
      <c r="B11" s="103">
        <v>5040</v>
      </c>
      <c r="C11" s="121" t="s">
        <v>377</v>
      </c>
      <c r="D11" s="192">
        <f>('Осн. фін. пок.'!C68/'Осн. фін. пок.'!C36)*100</f>
        <v>8.6</v>
      </c>
      <c r="E11" s="192">
        <f>('Осн. фін. пок.'!D68/'Осн. фін. пок.'!D36)*100</f>
        <v>6.9</v>
      </c>
      <c r="F11" s="192">
        <f>('Осн. фін. пок.'!E68/'Осн. фін. пок.'!E36)*100</f>
        <v>7.5</v>
      </c>
      <c r="G11" s="125" t="s">
        <v>383</v>
      </c>
    </row>
    <row r="12" spans="1:7" ht="24.75" customHeight="1">
      <c r="A12" s="124" t="s">
        <v>384</v>
      </c>
      <c r="B12" s="103"/>
      <c r="C12" s="127"/>
      <c r="D12" s="128"/>
      <c r="E12" s="128"/>
      <c r="F12" s="128"/>
      <c r="G12" s="125"/>
    </row>
    <row r="13" spans="1:7" ht="56.25">
      <c r="A13" s="125" t="s">
        <v>385</v>
      </c>
      <c r="B13" s="103">
        <v>5100</v>
      </c>
      <c r="C13" s="121"/>
      <c r="D13" s="192">
        <f>('Осн. фін. пок.'!C146+'Осн. фін. пок.'!C147)/'Осн. фін. пок.'!C53</f>
        <v>3.1</v>
      </c>
      <c r="E13" s="192">
        <f>('Осн. фін. пок.'!D146+'Осн. фін. пок.'!D147)/'Осн. фін. пок.'!D53</f>
        <v>2.5</v>
      </c>
      <c r="F13" s="192">
        <f>('Осн. фін. пок.'!E146+'Осн. фін. пок.'!E147)/'Осн. фін. пок.'!E53</f>
        <v>2.6</v>
      </c>
      <c r="G13" s="125"/>
    </row>
    <row r="14" spans="1:7" s="55" customFormat="1" ht="90" customHeight="1">
      <c r="A14" s="125" t="s">
        <v>386</v>
      </c>
      <c r="B14" s="103">
        <v>5110</v>
      </c>
      <c r="C14" s="121" t="s">
        <v>387</v>
      </c>
      <c r="D14" s="192">
        <f>'Осн. фін. пок.'!C151/('Осн. фін. пок.'!C146+'Осн. фін. пок.'!C147)</f>
        <v>1.3</v>
      </c>
      <c r="E14" s="192">
        <f>'Осн. фін. пок.'!D151/('Осн. фін. пок.'!D146+'Осн. фін. пок.'!D147)</f>
        <v>1.1</v>
      </c>
      <c r="F14" s="192">
        <f>'Осн. фін. пок.'!E151/('Осн. фін. пок.'!E146+'Осн. фін. пок.'!E147)</f>
        <v>1.3</v>
      </c>
      <c r="G14" s="125" t="s">
        <v>388</v>
      </c>
    </row>
    <row r="15" spans="1:7" s="55" customFormat="1" ht="129.75" customHeight="1">
      <c r="A15" s="125" t="s">
        <v>389</v>
      </c>
      <c r="B15" s="103">
        <v>5120</v>
      </c>
      <c r="C15" s="121" t="s">
        <v>387</v>
      </c>
      <c r="D15" s="192">
        <f>'Осн. фін. пок.'!C143/'Осн. фін. пок.'!C147</f>
        <v>0.9</v>
      </c>
      <c r="E15" s="192">
        <f>'Осн. фін. пок.'!D143/'Осн. фін. пок.'!D147</f>
        <v>0.7</v>
      </c>
      <c r="F15" s="192">
        <f>'Осн. фін. пок.'!E143/'Осн. фін. пок.'!E147</f>
        <v>1</v>
      </c>
      <c r="G15" s="125" t="s">
        <v>390</v>
      </c>
    </row>
    <row r="16" spans="1:7" ht="24.75" customHeight="1">
      <c r="A16" s="124" t="s">
        <v>391</v>
      </c>
      <c r="B16" s="103"/>
      <c r="C16" s="121"/>
      <c r="D16" s="193"/>
      <c r="E16" s="193"/>
      <c r="F16" s="193"/>
      <c r="G16" s="125"/>
    </row>
    <row r="17" spans="1:7" ht="75">
      <c r="A17" s="125" t="s">
        <v>392</v>
      </c>
      <c r="B17" s="103">
        <v>5200</v>
      </c>
      <c r="C17" s="121"/>
      <c r="D17" s="192">
        <f>'Осн. фін. пок.'!C120/'Осн. фін. пок.'!C80</f>
        <v>1</v>
      </c>
      <c r="E17" s="192">
        <f>'Осн. фін. пок.'!D120/'Осн. фін. пок.'!D80</f>
        <v>2.7</v>
      </c>
      <c r="F17" s="192">
        <f>'Осн. фін. пок.'!E120/'Осн. фін. пок.'!E80</f>
        <v>1.1</v>
      </c>
      <c r="G17" s="125"/>
    </row>
    <row r="18" spans="1:7" ht="77.25" customHeight="1">
      <c r="A18" s="125" t="s">
        <v>393</v>
      </c>
      <c r="B18" s="103">
        <v>5210</v>
      </c>
      <c r="C18" s="121"/>
      <c r="D18" s="192">
        <f>'Осн. фін. пок.'!C120/'Осн. фін. пок.'!C36</f>
        <v>0.1</v>
      </c>
      <c r="E18" s="192">
        <f>'Осн. фін. пок.'!D120/'Осн. фін. пок.'!D36</f>
        <v>0.2</v>
      </c>
      <c r="F18" s="192">
        <f>'Осн. фін. пок.'!E120/'Осн. фін. пок.'!E36</f>
        <v>0.1</v>
      </c>
      <c r="G18" s="125"/>
    </row>
    <row r="19" spans="1:7" ht="56.25">
      <c r="A19" s="125" t="s">
        <v>394</v>
      </c>
      <c r="B19" s="103">
        <v>5220</v>
      </c>
      <c r="C19" s="121" t="s">
        <v>395</v>
      </c>
      <c r="D19" s="192">
        <f>'Осн. фін. пок.'!C142/'Осн. фін. пок.'!C141</f>
        <v>0.6</v>
      </c>
      <c r="E19" s="192">
        <f>'Осн. фін. пок.'!D142/'Осн. фін. пок.'!D141</f>
        <v>0.5</v>
      </c>
      <c r="F19" s="192">
        <f>'Осн. фін. пок.'!E142/'Осн. фін. пок.'!E141</f>
        <v>0.6</v>
      </c>
      <c r="G19" s="125" t="s">
        <v>396</v>
      </c>
    </row>
    <row r="20" spans="1:7" ht="24.75" customHeight="1">
      <c r="A20" s="124" t="s">
        <v>397</v>
      </c>
      <c r="B20" s="103"/>
      <c r="C20" s="121"/>
      <c r="D20" s="128"/>
      <c r="E20" s="128"/>
      <c r="F20" s="128"/>
      <c r="G20" s="125"/>
    </row>
    <row r="21" spans="1:7" ht="93.75">
      <c r="A21" s="126" t="s">
        <v>398</v>
      </c>
      <c r="B21" s="103">
        <v>5300</v>
      </c>
      <c r="C21" s="121"/>
      <c r="D21" s="128"/>
      <c r="E21" s="128"/>
      <c r="F21" s="128"/>
      <c r="G21" s="129"/>
    </row>
    <row r="25" ht="15" customHeight="1">
      <c r="J25" s="56"/>
    </row>
    <row r="26" spans="1:7" s="1" customFormat="1" ht="18.75" customHeight="1">
      <c r="A26" s="30" t="s">
        <v>290</v>
      </c>
      <c r="B26" s="2"/>
      <c r="C26" s="340" t="s">
        <v>399</v>
      </c>
      <c r="D26" s="340"/>
      <c r="E26" s="24"/>
      <c r="F26" s="341" t="s">
        <v>196</v>
      </c>
      <c r="G26" s="341"/>
    </row>
    <row r="27" spans="1:7" s="38" customFormat="1" ht="18.75">
      <c r="A27" s="45" t="s">
        <v>291</v>
      </c>
      <c r="B27" s="1"/>
      <c r="C27" s="45" t="s">
        <v>292</v>
      </c>
      <c r="D27" s="24"/>
      <c r="E27" s="45"/>
      <c r="F27" s="335" t="s">
        <v>270</v>
      </c>
      <c r="G27" s="335"/>
    </row>
  </sheetData>
  <sheetProtection selectLockedCells="1" selectUnlockedCells="1"/>
  <mergeCells count="10">
    <mergeCell ref="C26:D26"/>
    <mergeCell ref="F26:G26"/>
    <mergeCell ref="F27:G27"/>
    <mergeCell ref="A1:G1"/>
    <mergeCell ref="A3:A4"/>
    <mergeCell ref="B3:B4"/>
    <mergeCell ref="C3:C4"/>
    <mergeCell ref="D3:D4"/>
    <mergeCell ref="E3:F3"/>
    <mergeCell ref="G3:G4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69"/>
  <sheetViews>
    <sheetView view="pageBreakPreview" zoomScaleNormal="83" zoomScaleSheetLayoutView="100" zoomScalePageLayoutView="0" workbookViewId="0" topLeftCell="A67">
      <selection activeCell="F25" sqref="F25:H25"/>
    </sheetView>
  </sheetViews>
  <sheetFormatPr defaultColWidth="8.625" defaultRowHeight="12.75"/>
  <cols>
    <col min="1" max="1" width="45.00390625" style="38" customWidth="1"/>
    <col min="2" max="2" width="14.75390625" style="57" customWidth="1"/>
    <col min="3" max="3" width="7.625" style="38" customWidth="1"/>
    <col min="4" max="4" width="13.00390625" style="38" customWidth="1"/>
    <col min="5" max="5" width="12.625" style="38" customWidth="1"/>
    <col min="6" max="6" width="12.75390625" style="38" customWidth="1"/>
    <col min="7" max="7" width="13.375" style="38" customWidth="1"/>
    <col min="8" max="8" width="13.00390625" style="38" customWidth="1"/>
    <col min="9" max="9" width="12.625" style="38" customWidth="1"/>
    <col min="10" max="10" width="13.375" style="38" customWidth="1"/>
    <col min="11" max="12" width="12.375" style="38" customWidth="1"/>
    <col min="13" max="13" width="13.375" style="38" customWidth="1"/>
    <col min="14" max="14" width="12.375" style="38" customWidth="1"/>
    <col min="15" max="15" width="12.875" style="38" customWidth="1"/>
    <col min="16" max="16384" width="8.625" style="38" customWidth="1"/>
  </cols>
  <sheetData>
    <row r="1" spans="1:15" ht="18.75">
      <c r="A1" s="335" t="s">
        <v>400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ht="18.75">
      <c r="A2" s="335" t="s">
        <v>401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 ht="18.75">
      <c r="A3" s="365" t="s">
        <v>402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ht="18.75">
      <c r="A4" s="405" t="s">
        <v>403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</row>
    <row r="5" spans="1:15" ht="21" customHeight="1">
      <c r="A5" s="376" t="s">
        <v>404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</row>
    <row r="6" spans="1:15" ht="9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8.75">
      <c r="A7" s="369" t="s">
        <v>405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ht="7.5" customHeight="1">
      <c r="B8" s="38"/>
    </row>
    <row r="9" spans="1:15" s="1" customFormat="1" ht="53.25" customHeight="1">
      <c r="A9" s="344" t="s">
        <v>36</v>
      </c>
      <c r="B9" s="344"/>
      <c r="C9" s="404" t="s">
        <v>406</v>
      </c>
      <c r="D9" s="404"/>
      <c r="E9" s="404"/>
      <c r="F9" s="404" t="s">
        <v>407</v>
      </c>
      <c r="G9" s="404"/>
      <c r="H9" s="404"/>
      <c r="I9" s="404" t="s">
        <v>408</v>
      </c>
      <c r="J9" s="404"/>
      <c r="K9" s="404"/>
      <c r="L9" s="344" t="s">
        <v>409</v>
      </c>
      <c r="M9" s="344"/>
      <c r="N9" s="344" t="s">
        <v>410</v>
      </c>
      <c r="O9" s="344"/>
    </row>
    <row r="10" spans="1:15" s="1" customFormat="1" ht="17.25" customHeight="1">
      <c r="A10" s="344">
        <v>1</v>
      </c>
      <c r="B10" s="344"/>
      <c r="C10" s="344">
        <v>2</v>
      </c>
      <c r="D10" s="344"/>
      <c r="E10" s="344"/>
      <c r="F10" s="344">
        <v>3</v>
      </c>
      <c r="G10" s="344"/>
      <c r="H10" s="344"/>
      <c r="I10" s="344">
        <v>4</v>
      </c>
      <c r="J10" s="344"/>
      <c r="K10" s="344"/>
      <c r="L10" s="344">
        <v>5</v>
      </c>
      <c r="M10" s="344"/>
      <c r="N10" s="344">
        <v>6</v>
      </c>
      <c r="O10" s="344"/>
    </row>
    <row r="11" spans="1:15" s="1" customFormat="1" ht="63" customHeight="1">
      <c r="A11" s="342" t="s">
        <v>411</v>
      </c>
      <c r="B11" s="342"/>
      <c r="C11" s="403">
        <f>SUM(C12:C14)</f>
        <v>721</v>
      </c>
      <c r="D11" s="403"/>
      <c r="E11" s="403"/>
      <c r="F11" s="403">
        <f>SUM(F12:F14)</f>
        <v>715</v>
      </c>
      <c r="G11" s="403"/>
      <c r="H11" s="403"/>
      <c r="I11" s="403">
        <f>SUM(I12:I14)</f>
        <v>744</v>
      </c>
      <c r="J11" s="403"/>
      <c r="K11" s="403"/>
      <c r="L11" s="399">
        <f aca="true" t="shared" si="0" ref="L11:L29">I11-F11</f>
        <v>29</v>
      </c>
      <c r="M11" s="399"/>
      <c r="N11" s="400">
        <f aca="true" t="shared" si="1" ref="N11:N29">(I11/F11)*100</f>
        <v>104.1</v>
      </c>
      <c r="O11" s="400"/>
    </row>
    <row r="12" spans="1:15" s="1" customFormat="1" ht="18" customHeight="1">
      <c r="A12" s="374" t="s">
        <v>180</v>
      </c>
      <c r="B12" s="374"/>
      <c r="C12" s="388">
        <v>1</v>
      </c>
      <c r="D12" s="388"/>
      <c r="E12" s="388"/>
      <c r="F12" s="388">
        <v>1</v>
      </c>
      <c r="G12" s="388"/>
      <c r="H12" s="388"/>
      <c r="I12" s="388">
        <v>1</v>
      </c>
      <c r="J12" s="388"/>
      <c r="K12" s="388"/>
      <c r="L12" s="388">
        <f t="shared" si="0"/>
        <v>0</v>
      </c>
      <c r="M12" s="388"/>
      <c r="N12" s="389">
        <f t="shared" si="1"/>
        <v>100</v>
      </c>
      <c r="O12" s="389"/>
    </row>
    <row r="13" spans="1:15" s="1" customFormat="1" ht="18" customHeight="1">
      <c r="A13" s="374" t="s">
        <v>182</v>
      </c>
      <c r="B13" s="374"/>
      <c r="C13" s="388">
        <v>32</v>
      </c>
      <c r="D13" s="388"/>
      <c r="E13" s="388"/>
      <c r="F13" s="388">
        <v>33</v>
      </c>
      <c r="G13" s="388"/>
      <c r="H13" s="388"/>
      <c r="I13" s="388">
        <v>33</v>
      </c>
      <c r="J13" s="388"/>
      <c r="K13" s="388"/>
      <c r="L13" s="388">
        <f t="shared" si="0"/>
        <v>0</v>
      </c>
      <c r="M13" s="388"/>
      <c r="N13" s="389">
        <f t="shared" si="1"/>
        <v>100</v>
      </c>
      <c r="O13" s="389"/>
    </row>
    <row r="14" spans="1:15" s="1" customFormat="1" ht="18" customHeight="1">
      <c r="A14" s="374" t="s">
        <v>184</v>
      </c>
      <c r="B14" s="374"/>
      <c r="C14" s="388">
        <v>688</v>
      </c>
      <c r="D14" s="388"/>
      <c r="E14" s="388"/>
      <c r="F14" s="388">
        <v>681</v>
      </c>
      <c r="G14" s="388"/>
      <c r="H14" s="388"/>
      <c r="I14" s="388">
        <v>710</v>
      </c>
      <c r="J14" s="388"/>
      <c r="K14" s="388"/>
      <c r="L14" s="388">
        <f t="shared" si="0"/>
        <v>29</v>
      </c>
      <c r="M14" s="388"/>
      <c r="N14" s="389">
        <f t="shared" si="1"/>
        <v>104.3</v>
      </c>
      <c r="O14" s="389"/>
    </row>
    <row r="15" spans="1:15" s="24" customFormat="1" ht="37.5" customHeight="1">
      <c r="A15" s="342" t="s">
        <v>412</v>
      </c>
      <c r="B15" s="342"/>
      <c r="C15" s="403">
        <f>SUM(C16:C18)</f>
        <v>74878</v>
      </c>
      <c r="D15" s="403"/>
      <c r="E15" s="403"/>
      <c r="F15" s="398">
        <f>SUM(F16:F18)</f>
        <v>95238</v>
      </c>
      <c r="G15" s="398"/>
      <c r="H15" s="398"/>
      <c r="I15" s="398">
        <f>SUM(I16:I18)</f>
        <v>93195</v>
      </c>
      <c r="J15" s="398"/>
      <c r="K15" s="398"/>
      <c r="L15" s="399">
        <f t="shared" si="0"/>
        <v>-2043</v>
      </c>
      <c r="M15" s="399"/>
      <c r="N15" s="400">
        <f t="shared" si="1"/>
        <v>97.9</v>
      </c>
      <c r="O15" s="400"/>
    </row>
    <row r="16" spans="1:15" s="1" customFormat="1" ht="18" customHeight="1">
      <c r="A16" s="374" t="s">
        <v>180</v>
      </c>
      <c r="B16" s="374"/>
      <c r="C16" s="401">
        <v>846</v>
      </c>
      <c r="D16" s="401"/>
      <c r="E16" s="401"/>
      <c r="F16" s="402">
        <v>840</v>
      </c>
      <c r="G16" s="402"/>
      <c r="H16" s="402"/>
      <c r="I16" s="402">
        <v>933</v>
      </c>
      <c r="J16" s="402"/>
      <c r="K16" s="402"/>
      <c r="L16" s="388">
        <f t="shared" si="0"/>
        <v>93</v>
      </c>
      <c r="M16" s="388"/>
      <c r="N16" s="389">
        <f t="shared" si="1"/>
        <v>111.1</v>
      </c>
      <c r="O16" s="389"/>
    </row>
    <row r="17" spans="1:15" s="1" customFormat="1" ht="18" customHeight="1">
      <c r="A17" s="374" t="s">
        <v>182</v>
      </c>
      <c r="B17" s="374"/>
      <c r="C17" s="401">
        <v>4717</v>
      </c>
      <c r="D17" s="401"/>
      <c r="E17" s="401"/>
      <c r="F17" s="402">
        <v>5720</v>
      </c>
      <c r="G17" s="402"/>
      <c r="H17" s="402"/>
      <c r="I17" s="402">
        <v>5707</v>
      </c>
      <c r="J17" s="402"/>
      <c r="K17" s="402"/>
      <c r="L17" s="388">
        <f t="shared" si="0"/>
        <v>-13</v>
      </c>
      <c r="M17" s="388"/>
      <c r="N17" s="389">
        <f t="shared" si="1"/>
        <v>99.8</v>
      </c>
      <c r="O17" s="389"/>
    </row>
    <row r="18" spans="1:15" s="1" customFormat="1" ht="18" customHeight="1">
      <c r="A18" s="374" t="s">
        <v>184</v>
      </c>
      <c r="B18" s="374"/>
      <c r="C18" s="401">
        <v>69315</v>
      </c>
      <c r="D18" s="401"/>
      <c r="E18" s="401"/>
      <c r="F18" s="402">
        <v>88678</v>
      </c>
      <c r="G18" s="402"/>
      <c r="H18" s="402"/>
      <c r="I18" s="402">
        <v>86555</v>
      </c>
      <c r="J18" s="402"/>
      <c r="K18" s="402"/>
      <c r="L18" s="388">
        <f t="shared" si="0"/>
        <v>-2123</v>
      </c>
      <c r="M18" s="388"/>
      <c r="N18" s="389">
        <f t="shared" si="1"/>
        <v>97.6</v>
      </c>
      <c r="O18" s="389"/>
    </row>
    <row r="19" spans="1:15" s="1" customFormat="1" ht="36" customHeight="1">
      <c r="A19" s="342" t="s">
        <v>413</v>
      </c>
      <c r="B19" s="342"/>
      <c r="C19" s="403">
        <f>SUM(C20:C22)</f>
        <v>75850</v>
      </c>
      <c r="D19" s="403"/>
      <c r="E19" s="403"/>
      <c r="F19" s="398">
        <f>SUM(F20:F22)</f>
        <v>95238</v>
      </c>
      <c r="G19" s="398"/>
      <c r="H19" s="398"/>
      <c r="I19" s="398">
        <f>SUM(I20:I22)</f>
        <v>95501</v>
      </c>
      <c r="J19" s="398"/>
      <c r="K19" s="398"/>
      <c r="L19" s="399">
        <f t="shared" si="0"/>
        <v>263</v>
      </c>
      <c r="M19" s="399"/>
      <c r="N19" s="400">
        <f t="shared" si="1"/>
        <v>100.3</v>
      </c>
      <c r="O19" s="400"/>
    </row>
    <row r="20" spans="1:15" s="1" customFormat="1" ht="18" customHeight="1">
      <c r="A20" s="374" t="s">
        <v>180</v>
      </c>
      <c r="B20" s="374"/>
      <c r="C20" s="401">
        <v>846</v>
      </c>
      <c r="D20" s="401"/>
      <c r="E20" s="401"/>
      <c r="F20" s="402">
        <v>840</v>
      </c>
      <c r="G20" s="402"/>
      <c r="H20" s="402"/>
      <c r="I20" s="402">
        <v>933</v>
      </c>
      <c r="J20" s="402"/>
      <c r="K20" s="402"/>
      <c r="L20" s="388">
        <f t="shared" si="0"/>
        <v>93</v>
      </c>
      <c r="M20" s="388"/>
      <c r="N20" s="389">
        <f t="shared" si="1"/>
        <v>111.1</v>
      </c>
      <c r="O20" s="389"/>
    </row>
    <row r="21" spans="1:15" s="1" customFormat="1" ht="18" customHeight="1">
      <c r="A21" s="374" t="s">
        <v>182</v>
      </c>
      <c r="B21" s="374"/>
      <c r="C21" s="401">
        <v>4778</v>
      </c>
      <c r="D21" s="401"/>
      <c r="E21" s="401"/>
      <c r="F21" s="402">
        <v>5720</v>
      </c>
      <c r="G21" s="402"/>
      <c r="H21" s="402"/>
      <c r="I21" s="402">
        <v>5791</v>
      </c>
      <c r="J21" s="402"/>
      <c r="K21" s="402"/>
      <c r="L21" s="388">
        <f t="shared" si="0"/>
        <v>71</v>
      </c>
      <c r="M21" s="388"/>
      <c r="N21" s="389">
        <f t="shared" si="1"/>
        <v>101.2</v>
      </c>
      <c r="O21" s="389"/>
    </row>
    <row r="22" spans="1:15" s="1" customFormat="1" ht="18" customHeight="1">
      <c r="A22" s="374" t="s">
        <v>184</v>
      </c>
      <c r="B22" s="374"/>
      <c r="C22" s="401">
        <v>70226</v>
      </c>
      <c r="D22" s="401"/>
      <c r="E22" s="401"/>
      <c r="F22" s="402">
        <v>88678</v>
      </c>
      <c r="G22" s="402"/>
      <c r="H22" s="402"/>
      <c r="I22" s="402">
        <v>88777</v>
      </c>
      <c r="J22" s="402"/>
      <c r="K22" s="402"/>
      <c r="L22" s="388">
        <f t="shared" si="0"/>
        <v>99</v>
      </c>
      <c r="M22" s="388"/>
      <c r="N22" s="389">
        <f t="shared" si="1"/>
        <v>100.1</v>
      </c>
      <c r="O22" s="389"/>
    </row>
    <row r="23" spans="1:15" s="1" customFormat="1" ht="38.25" customHeight="1">
      <c r="A23" s="342" t="s">
        <v>414</v>
      </c>
      <c r="B23" s="342"/>
      <c r="C23" s="397">
        <f>(C19/C11)/12*1000</f>
        <v>8767</v>
      </c>
      <c r="D23" s="397"/>
      <c r="E23" s="397"/>
      <c r="F23" s="397">
        <f>(F19/F11)/12*1000</f>
        <v>11100</v>
      </c>
      <c r="G23" s="397"/>
      <c r="H23" s="397"/>
      <c r="I23" s="398">
        <f>(I19/I11)/12*1000</f>
        <v>10697</v>
      </c>
      <c r="J23" s="398"/>
      <c r="K23" s="398"/>
      <c r="L23" s="399">
        <f t="shared" si="0"/>
        <v>-403</v>
      </c>
      <c r="M23" s="399"/>
      <c r="N23" s="400">
        <f t="shared" si="1"/>
        <v>96.4</v>
      </c>
      <c r="O23" s="400"/>
    </row>
    <row r="24" spans="1:15" s="1" customFormat="1" ht="18" customHeight="1">
      <c r="A24" s="396" t="s">
        <v>415</v>
      </c>
      <c r="B24" s="396"/>
      <c r="C24" s="387">
        <f>(C20/C12)/12*1000</f>
        <v>70500</v>
      </c>
      <c r="D24" s="387"/>
      <c r="E24" s="387"/>
      <c r="F24" s="387">
        <f>(F20/F12)/12*1000</f>
        <v>70000</v>
      </c>
      <c r="G24" s="387"/>
      <c r="H24" s="387"/>
      <c r="I24" s="387">
        <f>(I20/I12)/12*1000</f>
        <v>77750</v>
      </c>
      <c r="J24" s="387"/>
      <c r="K24" s="387"/>
      <c r="L24" s="388">
        <f t="shared" si="0"/>
        <v>7750</v>
      </c>
      <c r="M24" s="388"/>
      <c r="N24" s="389">
        <f t="shared" si="1"/>
        <v>111.1</v>
      </c>
      <c r="O24" s="389"/>
    </row>
    <row r="25" spans="1:15" s="58" customFormat="1" ht="18.75" customHeight="1">
      <c r="A25" s="391" t="s">
        <v>416</v>
      </c>
      <c r="B25" s="391"/>
      <c r="C25" s="392">
        <v>47734</v>
      </c>
      <c r="D25" s="392"/>
      <c r="E25" s="392"/>
      <c r="F25" s="395">
        <v>57959</v>
      </c>
      <c r="G25" s="395"/>
      <c r="H25" s="395"/>
      <c r="I25" s="392">
        <v>61249</v>
      </c>
      <c r="J25" s="392"/>
      <c r="K25" s="392"/>
      <c r="L25" s="393">
        <f t="shared" si="0"/>
        <v>3290</v>
      </c>
      <c r="M25" s="393"/>
      <c r="N25" s="394">
        <f t="shared" si="1"/>
        <v>105.7</v>
      </c>
      <c r="O25" s="394"/>
    </row>
    <row r="26" spans="1:15" s="58" customFormat="1" ht="18" customHeight="1">
      <c r="A26" s="391" t="s">
        <v>417</v>
      </c>
      <c r="B26" s="391"/>
      <c r="C26" s="392">
        <v>14149</v>
      </c>
      <c r="D26" s="392"/>
      <c r="E26" s="392"/>
      <c r="F26" s="395">
        <v>12041</v>
      </c>
      <c r="G26" s="395"/>
      <c r="H26" s="395"/>
      <c r="I26" s="392">
        <v>14873</v>
      </c>
      <c r="J26" s="392"/>
      <c r="K26" s="392"/>
      <c r="L26" s="393">
        <f t="shared" si="0"/>
        <v>2832</v>
      </c>
      <c r="M26" s="393"/>
      <c r="N26" s="394">
        <f t="shared" si="1"/>
        <v>123.5</v>
      </c>
      <c r="O26" s="394"/>
    </row>
    <row r="27" spans="1:15" s="58" customFormat="1" ht="18" customHeight="1">
      <c r="A27" s="391" t="s">
        <v>418</v>
      </c>
      <c r="B27" s="391"/>
      <c r="C27" s="392">
        <v>8617</v>
      </c>
      <c r="D27" s="392"/>
      <c r="E27" s="392"/>
      <c r="F27" s="392"/>
      <c r="G27" s="392"/>
      <c r="H27" s="392"/>
      <c r="I27" s="392">
        <v>1628</v>
      </c>
      <c r="J27" s="392"/>
      <c r="K27" s="392"/>
      <c r="L27" s="393">
        <f t="shared" si="0"/>
        <v>1628</v>
      </c>
      <c r="M27" s="393"/>
      <c r="N27" s="394" t="e">
        <f t="shared" si="1"/>
        <v>#DIV/0!</v>
      </c>
      <c r="O27" s="394"/>
    </row>
    <row r="28" spans="1:15" s="1" customFormat="1" ht="18" customHeight="1">
      <c r="A28" s="380" t="s">
        <v>190</v>
      </c>
      <c r="B28" s="380"/>
      <c r="C28" s="390">
        <f>(C21/C13)/12*1000</f>
        <v>12443</v>
      </c>
      <c r="D28" s="390"/>
      <c r="E28" s="390"/>
      <c r="F28" s="387">
        <f>(F21/F13)/12*1000</f>
        <v>14444</v>
      </c>
      <c r="G28" s="387"/>
      <c r="H28" s="387"/>
      <c r="I28" s="387">
        <f>(I21/I13)/12*1000</f>
        <v>14624</v>
      </c>
      <c r="J28" s="387"/>
      <c r="K28" s="387"/>
      <c r="L28" s="388">
        <f t="shared" si="0"/>
        <v>180</v>
      </c>
      <c r="M28" s="388"/>
      <c r="N28" s="389">
        <f t="shared" si="1"/>
        <v>101.2</v>
      </c>
      <c r="O28" s="389"/>
    </row>
    <row r="29" spans="1:15" s="1" customFormat="1" ht="18" customHeight="1">
      <c r="A29" s="380" t="s">
        <v>192</v>
      </c>
      <c r="B29" s="380"/>
      <c r="C29" s="387">
        <f>(C22/C14)/12*1000</f>
        <v>8506</v>
      </c>
      <c r="D29" s="387"/>
      <c r="E29" s="387"/>
      <c r="F29" s="387">
        <f>(F22/F14)/12*1000</f>
        <v>10851</v>
      </c>
      <c r="G29" s="387"/>
      <c r="H29" s="387"/>
      <c r="I29" s="387">
        <f>(I22/I14)/12*1000</f>
        <v>10420</v>
      </c>
      <c r="J29" s="387"/>
      <c r="K29" s="387"/>
      <c r="L29" s="388">
        <f t="shared" si="0"/>
        <v>-431</v>
      </c>
      <c r="M29" s="388"/>
      <c r="N29" s="389">
        <f t="shared" si="1"/>
        <v>96</v>
      </c>
      <c r="O29" s="389"/>
    </row>
    <row r="30" spans="1:15" s="1" customFormat="1" ht="13.5" customHeight="1">
      <c r="A30" s="6"/>
      <c r="B30" s="6"/>
      <c r="C30" s="6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60"/>
    </row>
    <row r="31" spans="1:15" ht="33" customHeight="1">
      <c r="A31" s="386" t="s">
        <v>419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</row>
    <row r="32" spans="1:9" ht="11.2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15" ht="30.75" customHeight="1">
      <c r="A33" s="376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</row>
    <row r="34" spans="1:15" ht="12.75" customHeight="1">
      <c r="A34" s="1"/>
      <c r="B34" s="6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.75" customHeight="1">
      <c r="A35" s="2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</row>
    <row r="36" spans="1:15" ht="17.25" customHeight="1">
      <c r="A36" s="2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</row>
    <row r="37" spans="1:15" ht="19.5" customHeight="1">
      <c r="A37" s="63"/>
      <c r="B37" s="384"/>
      <c r="C37" s="384"/>
      <c r="D37" s="384"/>
      <c r="E37" s="384"/>
      <c r="F37" s="385"/>
      <c r="G37" s="385"/>
      <c r="H37" s="385"/>
      <c r="I37" s="385"/>
      <c r="J37" s="385"/>
      <c r="K37" s="385"/>
      <c r="L37" s="385"/>
      <c r="M37" s="385"/>
      <c r="N37" s="385"/>
      <c r="O37" s="385"/>
    </row>
    <row r="38" spans="1:15" ht="19.5" customHeight="1">
      <c r="A38" s="63"/>
      <c r="B38" s="384"/>
      <c r="C38" s="384"/>
      <c r="D38" s="384"/>
      <c r="E38" s="384"/>
      <c r="F38" s="385"/>
      <c r="G38" s="385"/>
      <c r="H38" s="385"/>
      <c r="I38" s="385"/>
      <c r="J38" s="385"/>
      <c r="K38" s="385"/>
      <c r="L38" s="385"/>
      <c r="M38" s="385"/>
      <c r="N38" s="385"/>
      <c r="O38" s="385"/>
    </row>
    <row r="39" spans="1:15" ht="19.5" customHeight="1">
      <c r="A39" s="63"/>
      <c r="B39" s="384"/>
      <c r="C39" s="384"/>
      <c r="D39" s="384"/>
      <c r="E39" s="384"/>
      <c r="F39" s="385"/>
      <c r="G39" s="385"/>
      <c r="H39" s="385"/>
      <c r="I39" s="385"/>
      <c r="J39" s="385"/>
      <c r="K39" s="385"/>
      <c r="L39" s="385"/>
      <c r="M39" s="385"/>
      <c r="N39" s="385"/>
      <c r="O39" s="385"/>
    </row>
    <row r="40" spans="1:15" ht="19.5" customHeight="1">
      <c r="A40" s="63"/>
      <c r="B40" s="384"/>
      <c r="C40" s="384"/>
      <c r="D40" s="384"/>
      <c r="E40" s="384"/>
      <c r="F40" s="385"/>
      <c r="G40" s="385"/>
      <c r="H40" s="385"/>
      <c r="I40" s="385"/>
      <c r="J40" s="385"/>
      <c r="K40" s="385"/>
      <c r="L40" s="385"/>
      <c r="M40" s="385"/>
      <c r="N40" s="385"/>
      <c r="O40" s="385"/>
    </row>
    <row r="41" spans="1:10" ht="18" customHeight="1">
      <c r="A41" s="376" t="s">
        <v>420</v>
      </c>
      <c r="B41" s="376"/>
      <c r="C41" s="376"/>
      <c r="D41" s="376"/>
      <c r="E41" s="376"/>
      <c r="F41" s="376"/>
      <c r="G41" s="376"/>
      <c r="H41" s="376"/>
      <c r="I41" s="376"/>
      <c r="J41" s="376"/>
    </row>
    <row r="42" ht="18.75">
      <c r="A42" s="64"/>
    </row>
    <row r="43" spans="1:15" ht="52.5" customHeight="1">
      <c r="A43" s="344" t="s">
        <v>421</v>
      </c>
      <c r="B43" s="344"/>
      <c r="C43" s="344"/>
      <c r="D43" s="358" t="s">
        <v>422</v>
      </c>
      <c r="E43" s="358"/>
      <c r="F43" s="358"/>
      <c r="G43" s="359" t="s">
        <v>423</v>
      </c>
      <c r="H43" s="359"/>
      <c r="I43" s="359"/>
      <c r="J43" s="344" t="s">
        <v>424</v>
      </c>
      <c r="K43" s="344"/>
      <c r="L43" s="344"/>
      <c r="M43" s="344" t="s">
        <v>425</v>
      </c>
      <c r="N43" s="344"/>
      <c r="O43" s="344"/>
    </row>
    <row r="44" spans="1:15" ht="155.25" customHeight="1">
      <c r="A44" s="344"/>
      <c r="B44" s="344"/>
      <c r="C44" s="344"/>
      <c r="D44" s="103" t="s">
        <v>426</v>
      </c>
      <c r="E44" s="103" t="s">
        <v>427</v>
      </c>
      <c r="F44" s="103" t="s">
        <v>428</v>
      </c>
      <c r="G44" s="103" t="s">
        <v>426</v>
      </c>
      <c r="H44" s="103" t="s">
        <v>429</v>
      </c>
      <c r="I44" s="103" t="s">
        <v>428</v>
      </c>
      <c r="J44" s="103" t="s">
        <v>426</v>
      </c>
      <c r="K44" s="103" t="s">
        <v>430</v>
      </c>
      <c r="L44" s="103" t="s">
        <v>431</v>
      </c>
      <c r="M44" s="103" t="s">
        <v>432</v>
      </c>
      <c r="N44" s="103" t="s">
        <v>433</v>
      </c>
      <c r="O44" s="103" t="s">
        <v>434</v>
      </c>
    </row>
    <row r="45" spans="1:15" ht="18" customHeight="1">
      <c r="A45" s="344">
        <v>1</v>
      </c>
      <c r="B45" s="344"/>
      <c r="C45" s="344"/>
      <c r="D45" s="103">
        <v>2</v>
      </c>
      <c r="E45" s="103">
        <v>3</v>
      </c>
      <c r="F45" s="103">
        <v>4</v>
      </c>
      <c r="G45" s="103">
        <v>5</v>
      </c>
      <c r="H45" s="104">
        <v>6</v>
      </c>
      <c r="I45" s="104">
        <v>7</v>
      </c>
      <c r="J45" s="104">
        <v>8</v>
      </c>
      <c r="K45" s="104">
        <v>9</v>
      </c>
      <c r="L45" s="104">
        <v>10</v>
      </c>
      <c r="M45" s="104">
        <v>11</v>
      </c>
      <c r="N45" s="104">
        <v>12</v>
      </c>
      <c r="O45" s="104">
        <v>13</v>
      </c>
    </row>
    <row r="46" spans="1:15" ht="18" customHeight="1">
      <c r="A46" s="374" t="s">
        <v>435</v>
      </c>
      <c r="B46" s="374"/>
      <c r="C46" s="374"/>
      <c r="D46" s="106">
        <v>141271</v>
      </c>
      <c r="E46" s="106">
        <v>12200</v>
      </c>
      <c r="F46" s="116">
        <f>D46/E46</f>
        <v>11.58</v>
      </c>
      <c r="G46" s="106">
        <v>141420</v>
      </c>
      <c r="H46" s="106">
        <v>12404</v>
      </c>
      <c r="I46" s="116">
        <f>G46/H46</f>
        <v>11.4</v>
      </c>
      <c r="J46" s="196">
        <f aca="true" t="shared" si="2" ref="J46:L48">G46-D46</f>
        <v>149</v>
      </c>
      <c r="K46" s="196">
        <f t="shared" si="2"/>
        <v>204</v>
      </c>
      <c r="L46" s="197">
        <f t="shared" si="2"/>
        <v>-0.2</v>
      </c>
      <c r="M46" s="199">
        <f aca="true" t="shared" si="3" ref="M46:O47">(G46/D46)*100</f>
        <v>100</v>
      </c>
      <c r="N46" s="199">
        <f t="shared" si="3"/>
        <v>102</v>
      </c>
      <c r="O46" s="199">
        <f t="shared" si="3"/>
        <v>98</v>
      </c>
    </row>
    <row r="47" spans="1:15" ht="18" customHeight="1">
      <c r="A47" s="374" t="s">
        <v>436</v>
      </c>
      <c r="B47" s="374"/>
      <c r="C47" s="374"/>
      <c r="D47" s="106">
        <v>124989</v>
      </c>
      <c r="E47" s="106">
        <v>11120</v>
      </c>
      <c r="F47" s="116">
        <f>D47/E47</f>
        <v>11.24</v>
      </c>
      <c r="G47" s="106">
        <v>125053</v>
      </c>
      <c r="H47" s="106">
        <v>11313</v>
      </c>
      <c r="I47" s="116">
        <f>G47/H47</f>
        <v>11.05</v>
      </c>
      <c r="J47" s="196">
        <f t="shared" si="2"/>
        <v>64</v>
      </c>
      <c r="K47" s="196">
        <f t="shared" si="2"/>
        <v>193</v>
      </c>
      <c r="L47" s="197">
        <f t="shared" si="2"/>
        <v>-0.2</v>
      </c>
      <c r="M47" s="199">
        <f t="shared" si="3"/>
        <v>100</v>
      </c>
      <c r="N47" s="199">
        <f t="shared" si="3"/>
        <v>102</v>
      </c>
      <c r="O47" s="199">
        <f t="shared" si="3"/>
        <v>98</v>
      </c>
    </row>
    <row r="48" spans="1:15" ht="19.5" customHeight="1">
      <c r="A48" s="374" t="s">
        <v>437</v>
      </c>
      <c r="B48" s="374"/>
      <c r="C48" s="374"/>
      <c r="D48" s="106">
        <v>11680</v>
      </c>
      <c r="E48" s="106"/>
      <c r="F48" s="105"/>
      <c r="G48" s="106">
        <v>5463</v>
      </c>
      <c r="H48" s="106"/>
      <c r="I48" s="105"/>
      <c r="J48" s="196">
        <f t="shared" si="2"/>
        <v>-6217</v>
      </c>
      <c r="K48" s="196">
        <f t="shared" si="2"/>
        <v>0</v>
      </c>
      <c r="L48" s="197">
        <f t="shared" si="2"/>
        <v>0</v>
      </c>
      <c r="M48" s="199">
        <f>(G48/D48)*100</f>
        <v>47</v>
      </c>
      <c r="N48" s="199"/>
      <c r="O48" s="199"/>
    </row>
    <row r="49" spans="1:15" ht="24.75" customHeight="1">
      <c r="A49" s="356" t="s">
        <v>88</v>
      </c>
      <c r="B49" s="356"/>
      <c r="C49" s="356"/>
      <c r="D49" s="194">
        <f>SUM(D46:D48)</f>
        <v>277940</v>
      </c>
      <c r="E49" s="194">
        <f>SUM(E46:E48)</f>
        <v>23320</v>
      </c>
      <c r="F49" s="195"/>
      <c r="G49" s="194">
        <f>SUM(G46:G48)</f>
        <v>271936</v>
      </c>
      <c r="H49" s="109">
        <f>H46+H47</f>
        <v>23717</v>
      </c>
      <c r="I49" s="119"/>
      <c r="J49" s="196">
        <f>G49-D49</f>
        <v>-6004</v>
      </c>
      <c r="K49" s="198"/>
      <c r="L49" s="195"/>
      <c r="M49" s="199">
        <f>(G49/D49)*100</f>
        <v>98</v>
      </c>
      <c r="N49" s="198"/>
      <c r="O49" s="195"/>
    </row>
    <row r="50" spans="1:15" ht="18.75">
      <c r="A50" s="3"/>
      <c r="B50" s="65"/>
      <c r="C50" s="65"/>
      <c r="D50" s="65"/>
      <c r="E50" s="65"/>
      <c r="F50" s="22"/>
      <c r="G50" s="22"/>
      <c r="H50" s="22"/>
      <c r="I50" s="24"/>
      <c r="J50" s="24"/>
      <c r="K50" s="24"/>
      <c r="L50" s="24"/>
      <c r="M50" s="24"/>
      <c r="N50" s="24"/>
      <c r="O50" s="24"/>
    </row>
    <row r="51" spans="1:15" ht="18" customHeight="1">
      <c r="A51" s="376" t="s">
        <v>438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</row>
    <row r="52" ht="18.75">
      <c r="A52" s="64"/>
    </row>
    <row r="53" spans="1:15" ht="53.25" customHeight="1">
      <c r="A53" s="103" t="s">
        <v>439</v>
      </c>
      <c r="B53" s="344" t="s">
        <v>440</v>
      </c>
      <c r="C53" s="344"/>
      <c r="D53" s="344" t="s">
        <v>441</v>
      </c>
      <c r="E53" s="344"/>
      <c r="F53" s="344" t="s">
        <v>442</v>
      </c>
      <c r="G53" s="344"/>
      <c r="H53" s="344" t="s">
        <v>443</v>
      </c>
      <c r="I53" s="344"/>
      <c r="J53" s="344"/>
      <c r="K53" s="344" t="s">
        <v>444</v>
      </c>
      <c r="L53" s="344"/>
      <c r="M53" s="344" t="s">
        <v>445</v>
      </c>
      <c r="N53" s="344"/>
      <c r="O53" s="344"/>
    </row>
    <row r="54" spans="1:15" ht="18" customHeight="1">
      <c r="A54" s="104">
        <v>1</v>
      </c>
      <c r="B54" s="343">
        <v>2</v>
      </c>
      <c r="C54" s="343"/>
      <c r="D54" s="343">
        <v>3</v>
      </c>
      <c r="E54" s="343"/>
      <c r="F54" s="343">
        <v>4</v>
      </c>
      <c r="G54" s="343"/>
      <c r="H54" s="343">
        <v>5</v>
      </c>
      <c r="I54" s="343"/>
      <c r="J54" s="343"/>
      <c r="K54" s="343">
        <v>6</v>
      </c>
      <c r="L54" s="343"/>
      <c r="M54" s="343">
        <v>7</v>
      </c>
      <c r="N54" s="343"/>
      <c r="O54" s="343"/>
    </row>
    <row r="55" spans="1:15" ht="18" customHeight="1">
      <c r="A55" s="115"/>
      <c r="B55" s="380"/>
      <c r="C55" s="380"/>
      <c r="D55" s="381"/>
      <c r="E55" s="381"/>
      <c r="F55" s="382" t="s">
        <v>446</v>
      </c>
      <c r="G55" s="382"/>
      <c r="H55" s="383"/>
      <c r="I55" s="383"/>
      <c r="J55" s="383"/>
      <c r="K55" s="372"/>
      <c r="L55" s="372"/>
      <c r="M55" s="381"/>
      <c r="N55" s="381"/>
      <c r="O55" s="381"/>
    </row>
    <row r="56" spans="1:15" ht="18" customHeight="1">
      <c r="A56" s="118" t="s">
        <v>88</v>
      </c>
      <c r="B56" s="360" t="s">
        <v>447</v>
      </c>
      <c r="C56" s="360"/>
      <c r="D56" s="360" t="s">
        <v>447</v>
      </c>
      <c r="E56" s="360"/>
      <c r="F56" s="360" t="s">
        <v>447</v>
      </c>
      <c r="G56" s="360"/>
      <c r="H56" s="377"/>
      <c r="I56" s="377"/>
      <c r="J56" s="377"/>
      <c r="K56" s="378">
        <f>SUM(K55:L55)</f>
        <v>0</v>
      </c>
      <c r="L56" s="378"/>
      <c r="M56" s="379"/>
      <c r="N56" s="379"/>
      <c r="O56" s="379"/>
    </row>
    <row r="57" spans="1:15" ht="18.75">
      <c r="A57" s="2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</row>
    <row r="58" spans="1:15" ht="18" customHeight="1">
      <c r="A58" s="376" t="s">
        <v>448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</row>
    <row r="59" spans="1:9" ht="15" customHeight="1">
      <c r="A59" s="24"/>
      <c r="B59" s="66"/>
      <c r="C59" s="24"/>
      <c r="D59" s="24"/>
      <c r="E59" s="24"/>
      <c r="F59" s="24"/>
      <c r="G59" s="24"/>
      <c r="H59" s="24"/>
      <c r="I59" s="42"/>
    </row>
    <row r="60" spans="1:15" ht="42.75" customHeight="1">
      <c r="A60" s="344" t="s">
        <v>449</v>
      </c>
      <c r="B60" s="344"/>
      <c r="C60" s="344"/>
      <c r="D60" s="344" t="s">
        <v>450</v>
      </c>
      <c r="E60" s="344"/>
      <c r="F60" s="344" t="s">
        <v>451</v>
      </c>
      <c r="G60" s="344"/>
      <c r="H60" s="344"/>
      <c r="I60" s="344"/>
      <c r="J60" s="344" t="s">
        <v>452</v>
      </c>
      <c r="K60" s="344"/>
      <c r="L60" s="344"/>
      <c r="M60" s="344"/>
      <c r="N60" s="344" t="s">
        <v>453</v>
      </c>
      <c r="O60" s="344"/>
    </row>
    <row r="61" spans="1:15" ht="42.75" customHeight="1">
      <c r="A61" s="344"/>
      <c r="B61" s="344"/>
      <c r="C61" s="344"/>
      <c r="D61" s="344"/>
      <c r="E61" s="344"/>
      <c r="F61" s="343" t="s">
        <v>374</v>
      </c>
      <c r="G61" s="343"/>
      <c r="H61" s="344" t="s">
        <v>41</v>
      </c>
      <c r="I61" s="344"/>
      <c r="J61" s="343" t="s">
        <v>374</v>
      </c>
      <c r="K61" s="343"/>
      <c r="L61" s="344" t="s">
        <v>41</v>
      </c>
      <c r="M61" s="344"/>
      <c r="N61" s="344"/>
      <c r="O61" s="344"/>
    </row>
    <row r="62" spans="1:15" ht="18" customHeight="1">
      <c r="A62" s="344">
        <v>1</v>
      </c>
      <c r="B62" s="344"/>
      <c r="C62" s="344"/>
      <c r="D62" s="344">
        <v>2</v>
      </c>
      <c r="E62" s="344"/>
      <c r="F62" s="344">
        <v>3</v>
      </c>
      <c r="G62" s="344"/>
      <c r="H62" s="343">
        <v>4</v>
      </c>
      <c r="I62" s="343"/>
      <c r="J62" s="343">
        <v>5</v>
      </c>
      <c r="K62" s="343"/>
      <c r="L62" s="343">
        <v>6</v>
      </c>
      <c r="M62" s="343"/>
      <c r="N62" s="343">
        <v>7</v>
      </c>
      <c r="O62" s="343"/>
    </row>
    <row r="63" spans="1:15" ht="19.5" customHeight="1">
      <c r="A63" s="374" t="s">
        <v>454</v>
      </c>
      <c r="B63" s="374"/>
      <c r="C63" s="374"/>
      <c r="D63" s="372">
        <f>D64</f>
        <v>8</v>
      </c>
      <c r="E63" s="372"/>
      <c r="F63" s="372"/>
      <c r="G63" s="372"/>
      <c r="H63" s="372"/>
      <c r="I63" s="372"/>
      <c r="J63" s="372"/>
      <c r="K63" s="372"/>
      <c r="L63" s="372">
        <f>L64</f>
        <v>7</v>
      </c>
      <c r="M63" s="372"/>
      <c r="N63" s="372">
        <f>D63+H63-L63</f>
        <v>1</v>
      </c>
      <c r="O63" s="372"/>
    </row>
    <row r="64" spans="1:15" ht="19.5" customHeight="1">
      <c r="A64" s="374" t="s">
        <v>534</v>
      </c>
      <c r="B64" s="374"/>
      <c r="C64" s="374"/>
      <c r="D64" s="372">
        <v>8</v>
      </c>
      <c r="E64" s="372"/>
      <c r="F64" s="372"/>
      <c r="G64" s="372"/>
      <c r="H64" s="372"/>
      <c r="I64" s="372"/>
      <c r="J64" s="372"/>
      <c r="K64" s="372"/>
      <c r="L64" s="372">
        <v>7</v>
      </c>
      <c r="M64" s="372"/>
      <c r="N64" s="372">
        <f>D64+H64-L64</f>
        <v>1</v>
      </c>
      <c r="O64" s="372"/>
    </row>
    <row r="65" spans="1:15" ht="19.5" customHeight="1">
      <c r="A65" s="374" t="s">
        <v>456</v>
      </c>
      <c r="B65" s="374"/>
      <c r="C65" s="374"/>
      <c r="D65" s="372">
        <f>D66</f>
        <v>790</v>
      </c>
      <c r="E65" s="372"/>
      <c r="F65" s="372"/>
      <c r="G65" s="372"/>
      <c r="H65" s="372">
        <f>H66</f>
        <v>0</v>
      </c>
      <c r="I65" s="372"/>
      <c r="J65" s="372"/>
      <c r="K65" s="372"/>
      <c r="L65" s="372">
        <f>L66</f>
        <v>790</v>
      </c>
      <c r="M65" s="372"/>
      <c r="N65" s="372">
        <f>D65+H65-L65</f>
        <v>0</v>
      </c>
      <c r="O65" s="372"/>
    </row>
    <row r="66" spans="1:15" ht="19.5" customHeight="1">
      <c r="A66" s="374" t="s">
        <v>457</v>
      </c>
      <c r="B66" s="374"/>
      <c r="C66" s="374"/>
      <c r="D66" s="372">
        <v>790</v>
      </c>
      <c r="E66" s="372"/>
      <c r="F66" s="372"/>
      <c r="G66" s="372"/>
      <c r="H66" s="372"/>
      <c r="I66" s="372"/>
      <c r="J66" s="372"/>
      <c r="K66" s="372"/>
      <c r="L66" s="372">
        <v>790</v>
      </c>
      <c r="M66" s="372"/>
      <c r="N66" s="372">
        <f>D66+H66-L66</f>
        <v>0</v>
      </c>
      <c r="O66" s="372"/>
    </row>
    <row r="67" spans="1:15" ht="19.5" customHeight="1">
      <c r="A67" s="374" t="s">
        <v>458</v>
      </c>
      <c r="B67" s="374"/>
      <c r="C67" s="374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5">
        <f>D67+H67-L67</f>
        <v>0</v>
      </c>
      <c r="O67" s="375"/>
    </row>
    <row r="68" spans="1:15" ht="19.5" customHeight="1">
      <c r="A68" s="374" t="s">
        <v>455</v>
      </c>
      <c r="B68" s="374"/>
      <c r="C68" s="374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24.75" customHeight="1">
      <c r="A69" s="342" t="s">
        <v>88</v>
      </c>
      <c r="B69" s="342"/>
      <c r="C69" s="342"/>
      <c r="D69" s="373">
        <f>SUM(D63,D65,D67)</f>
        <v>798</v>
      </c>
      <c r="E69" s="373"/>
      <c r="F69" s="373">
        <f>SUM(F63,F65,F67)</f>
        <v>0</v>
      </c>
      <c r="G69" s="373"/>
      <c r="H69" s="373">
        <f>SUM(H63,H65,H67)</f>
        <v>0</v>
      </c>
      <c r="I69" s="373"/>
      <c r="J69" s="373">
        <f>SUM(J63,J65,J67)</f>
        <v>0</v>
      </c>
      <c r="K69" s="373"/>
      <c r="L69" s="373">
        <f>SUM(L63,L65,L67)</f>
        <v>797</v>
      </c>
      <c r="M69" s="373"/>
      <c r="N69" s="373">
        <f>D69+H69-L69</f>
        <v>1</v>
      </c>
      <c r="O69" s="373"/>
    </row>
  </sheetData>
  <sheetProtection selectLockedCells="1" selectUnlockedCells="1"/>
  <mergeCells count="248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7:B27"/>
    <mergeCell ref="C27:E27"/>
    <mergeCell ref="F27:H27"/>
    <mergeCell ref="I27:K27"/>
    <mergeCell ref="L27:M27"/>
    <mergeCell ref="N27:O27"/>
    <mergeCell ref="A28:B28"/>
    <mergeCell ref="C28:E28"/>
    <mergeCell ref="F28:H28"/>
    <mergeCell ref="I28:K28"/>
    <mergeCell ref="L28:M28"/>
    <mergeCell ref="N28:O28"/>
    <mergeCell ref="A29:B29"/>
    <mergeCell ref="C29:E29"/>
    <mergeCell ref="F29:H29"/>
    <mergeCell ref="I29:K29"/>
    <mergeCell ref="L29:M29"/>
    <mergeCell ref="N29:O29"/>
    <mergeCell ref="A31:O31"/>
    <mergeCell ref="A33:O33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B40:E40"/>
    <mergeCell ref="F40:O40"/>
    <mergeCell ref="A41:J41"/>
    <mergeCell ref="A43:C44"/>
    <mergeCell ref="D43:F43"/>
    <mergeCell ref="G43:I43"/>
    <mergeCell ref="J43:L43"/>
    <mergeCell ref="M43:O43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A58:O58"/>
    <mergeCell ref="A60:C61"/>
    <mergeCell ref="D60:E61"/>
    <mergeCell ref="F60:I60"/>
    <mergeCell ref="J60:M60"/>
    <mergeCell ref="N60:O61"/>
    <mergeCell ref="F61:G61"/>
    <mergeCell ref="H61:I61"/>
    <mergeCell ref="J61:K61"/>
    <mergeCell ref="L61:M61"/>
    <mergeCell ref="L63:M63"/>
    <mergeCell ref="N63:O63"/>
    <mergeCell ref="A62:C62"/>
    <mergeCell ref="D62:E62"/>
    <mergeCell ref="F62:G62"/>
    <mergeCell ref="H62:I62"/>
    <mergeCell ref="J62:K62"/>
    <mergeCell ref="L62:M62"/>
    <mergeCell ref="F64:G64"/>
    <mergeCell ref="H64:I64"/>
    <mergeCell ref="J64:K64"/>
    <mergeCell ref="L64:M64"/>
    <mergeCell ref="N62:O62"/>
    <mergeCell ref="A63:C63"/>
    <mergeCell ref="D63:E63"/>
    <mergeCell ref="F63:G63"/>
    <mergeCell ref="H63:I63"/>
    <mergeCell ref="J63:K63"/>
    <mergeCell ref="N64:O64"/>
    <mergeCell ref="A65:C65"/>
    <mergeCell ref="D65:E65"/>
    <mergeCell ref="F65:G65"/>
    <mergeCell ref="H65:I65"/>
    <mergeCell ref="J65:K65"/>
    <mergeCell ref="L65:M65"/>
    <mergeCell ref="N65:O65"/>
    <mergeCell ref="A64:C64"/>
    <mergeCell ref="D64:E64"/>
    <mergeCell ref="L67:M67"/>
    <mergeCell ref="N67:O67"/>
    <mergeCell ref="A66:C66"/>
    <mergeCell ref="D66:E66"/>
    <mergeCell ref="F66:G66"/>
    <mergeCell ref="H66:I66"/>
    <mergeCell ref="J66:K66"/>
    <mergeCell ref="L66:M66"/>
    <mergeCell ref="F68:G68"/>
    <mergeCell ref="H68:I68"/>
    <mergeCell ref="J68:K68"/>
    <mergeCell ref="L68:M68"/>
    <mergeCell ref="N66:O66"/>
    <mergeCell ref="A67:C67"/>
    <mergeCell ref="D67:E67"/>
    <mergeCell ref="F67:G67"/>
    <mergeCell ref="H67:I67"/>
    <mergeCell ref="J67:K67"/>
    <mergeCell ref="N68:O68"/>
    <mergeCell ref="A69:C69"/>
    <mergeCell ref="D69:E69"/>
    <mergeCell ref="F69:G69"/>
    <mergeCell ref="H69:I69"/>
    <mergeCell ref="J69:K69"/>
    <mergeCell ref="L69:M69"/>
    <mergeCell ref="N69:O69"/>
    <mergeCell ref="A68:C68"/>
    <mergeCell ref="D68:E68"/>
  </mergeCells>
  <printOptions/>
  <pageMargins left="0.5902777777777778" right="0.39375" top="0.27569444444444446" bottom="0.27569444444444446" header="0.5118055555555555" footer="0.5118055555555555"/>
  <pageSetup horizontalDpi="300" verticalDpi="300" orientation="landscape" paperSize="9" scale="61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J52"/>
  <sheetViews>
    <sheetView view="pageBreakPreview" zoomScale="60" zoomScaleNormal="83" zoomScalePageLayoutView="0" workbookViewId="0" topLeftCell="A40">
      <selection activeCell="V31" sqref="V31:V34"/>
    </sheetView>
  </sheetViews>
  <sheetFormatPr defaultColWidth="8.625" defaultRowHeight="12.75"/>
  <cols>
    <col min="1" max="1" width="7.375" style="34" customWidth="1"/>
    <col min="2" max="2" width="4.00390625" style="34" customWidth="1"/>
    <col min="3" max="3" width="16.75390625" style="34" customWidth="1"/>
    <col min="4" max="4" width="6.375" style="34" customWidth="1"/>
    <col min="5" max="5" width="4.625" style="34" customWidth="1"/>
    <col min="6" max="6" width="5.375" style="34" customWidth="1"/>
    <col min="7" max="7" width="5.875" style="34" customWidth="1"/>
    <col min="8" max="8" width="8.00390625" style="34" customWidth="1"/>
    <col min="9" max="9" width="7.375" style="34" customWidth="1"/>
    <col min="10" max="10" width="6.375" style="34" customWidth="1"/>
    <col min="11" max="11" width="5.75390625" style="34" customWidth="1"/>
    <col min="12" max="12" width="8.375" style="34" customWidth="1"/>
    <col min="13" max="13" width="11.00390625" style="34" customWidth="1"/>
    <col min="14" max="14" width="11.125" style="34" customWidth="1"/>
    <col min="15" max="15" width="11.375" style="34" customWidth="1"/>
    <col min="16" max="16" width="13.375" style="34" customWidth="1"/>
    <col min="17" max="17" width="11.75390625" style="34" customWidth="1"/>
    <col min="18" max="18" width="10.375" style="34" customWidth="1"/>
    <col min="19" max="19" width="13.625" style="34" customWidth="1"/>
    <col min="20" max="20" width="12.75390625" style="34" customWidth="1"/>
    <col min="21" max="21" width="11.625" style="34" customWidth="1"/>
    <col min="22" max="22" width="11.875" style="34" customWidth="1"/>
    <col min="23" max="23" width="14.375" style="34" customWidth="1"/>
    <col min="24" max="24" width="13.375" style="34" customWidth="1"/>
    <col min="25" max="25" width="11.75390625" style="34" customWidth="1"/>
    <col min="26" max="26" width="10.75390625" style="34" customWidth="1"/>
    <col min="27" max="28" width="13.375" style="34" customWidth="1"/>
    <col min="29" max="29" width="12.375" style="34" customWidth="1"/>
    <col min="30" max="30" width="11.875" style="34" customWidth="1"/>
    <col min="31" max="31" width="14.375" style="34" customWidth="1"/>
    <col min="32" max="32" width="13.375" style="34" customWidth="1"/>
    <col min="33" max="33" width="11.875" style="34" customWidth="1"/>
    <col min="34" max="34" width="11.375" style="34" customWidth="1"/>
    <col min="35" max="35" width="14.125" style="34" customWidth="1"/>
    <col min="36" max="36" width="13.375" style="34" customWidth="1"/>
    <col min="37" max="16384" width="8.625" style="34" customWidth="1"/>
  </cols>
  <sheetData>
    <row r="1" spans="3:32" ht="18.75" customHeight="1">
      <c r="C1" s="45" t="s">
        <v>459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45.75" customHeight="1">
      <c r="A3" s="416" t="s">
        <v>460</v>
      </c>
      <c r="B3" s="416" t="s">
        <v>461</v>
      </c>
      <c r="C3" s="416"/>
      <c r="D3" s="337" t="s">
        <v>462</v>
      </c>
      <c r="E3" s="337"/>
      <c r="F3" s="337"/>
      <c r="G3" s="337" t="s">
        <v>463</v>
      </c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60" t="s">
        <v>464</v>
      </c>
      <c r="S3" s="360"/>
      <c r="T3" s="360"/>
      <c r="U3" s="360"/>
      <c r="V3" s="360"/>
      <c r="W3" s="360"/>
      <c r="X3" s="360"/>
      <c r="Y3" s="360"/>
      <c r="Z3" s="360"/>
      <c r="AA3" s="337" t="s">
        <v>465</v>
      </c>
      <c r="AB3" s="337"/>
      <c r="AC3" s="337"/>
      <c r="AD3" s="337" t="s">
        <v>466</v>
      </c>
      <c r="AE3" s="337"/>
      <c r="AF3" s="337"/>
    </row>
    <row r="4" spans="1:32" ht="77.25" customHeight="1">
      <c r="A4" s="416"/>
      <c r="B4" s="416"/>
      <c r="C4" s="41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428" t="s">
        <v>467</v>
      </c>
      <c r="S4" s="428"/>
      <c r="T4" s="428"/>
      <c r="U4" s="428" t="s">
        <v>468</v>
      </c>
      <c r="V4" s="428"/>
      <c r="W4" s="428"/>
      <c r="X4" s="428" t="s">
        <v>469</v>
      </c>
      <c r="Y4" s="428"/>
      <c r="Z4" s="428"/>
      <c r="AA4" s="337"/>
      <c r="AB4" s="337"/>
      <c r="AC4" s="337"/>
      <c r="AD4" s="337"/>
      <c r="AE4" s="337"/>
      <c r="AF4" s="337"/>
    </row>
    <row r="5" spans="1:32" ht="18.75" customHeight="1">
      <c r="A5" s="205">
        <v>1</v>
      </c>
      <c r="B5" s="424">
        <v>2</v>
      </c>
      <c r="C5" s="424"/>
      <c r="D5" s="423">
        <v>3</v>
      </c>
      <c r="E5" s="423"/>
      <c r="F5" s="423"/>
      <c r="G5" s="423">
        <v>4</v>
      </c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>
        <v>5</v>
      </c>
      <c r="S5" s="423"/>
      <c r="T5" s="423"/>
      <c r="U5" s="423">
        <v>6</v>
      </c>
      <c r="V5" s="423"/>
      <c r="W5" s="423"/>
      <c r="X5" s="427">
        <v>7</v>
      </c>
      <c r="Y5" s="427"/>
      <c r="Z5" s="427"/>
      <c r="AA5" s="427">
        <v>8</v>
      </c>
      <c r="AB5" s="427"/>
      <c r="AC5" s="427"/>
      <c r="AD5" s="427">
        <v>9</v>
      </c>
      <c r="AE5" s="427"/>
      <c r="AF5" s="427"/>
    </row>
    <row r="6" spans="1:32" ht="36.75" customHeight="1">
      <c r="A6" s="205">
        <v>1</v>
      </c>
      <c r="B6" s="425" t="s">
        <v>470</v>
      </c>
      <c r="C6" s="425"/>
      <c r="D6" s="420">
        <v>2004</v>
      </c>
      <c r="E6" s="420"/>
      <c r="F6" s="420"/>
      <c r="G6" s="420" t="s">
        <v>471</v>
      </c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07">
        <v>223</v>
      </c>
      <c r="S6" s="407"/>
      <c r="T6" s="407"/>
      <c r="U6" s="407">
        <v>260</v>
      </c>
      <c r="V6" s="407"/>
      <c r="W6" s="407"/>
      <c r="X6" s="407">
        <v>265</v>
      </c>
      <c r="Y6" s="407"/>
      <c r="Z6" s="407"/>
      <c r="AA6" s="407">
        <f>X6-U6</f>
        <v>5</v>
      </c>
      <c r="AB6" s="407"/>
      <c r="AC6" s="407"/>
      <c r="AD6" s="418">
        <f>(X6/U6)*100</f>
        <v>101.9</v>
      </c>
      <c r="AE6" s="418"/>
      <c r="AF6" s="418"/>
    </row>
    <row r="7" spans="1:32" ht="51" customHeight="1">
      <c r="A7" s="205">
        <v>2</v>
      </c>
      <c r="B7" s="425" t="s">
        <v>472</v>
      </c>
      <c r="C7" s="425"/>
      <c r="D7" s="420">
        <v>2019</v>
      </c>
      <c r="E7" s="420"/>
      <c r="F7" s="420"/>
      <c r="G7" s="420" t="s">
        <v>471</v>
      </c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07">
        <v>240</v>
      </c>
      <c r="S7" s="407"/>
      <c r="T7" s="407"/>
      <c r="U7" s="407">
        <v>470</v>
      </c>
      <c r="V7" s="407"/>
      <c r="W7" s="407"/>
      <c r="X7" s="407">
        <v>318</v>
      </c>
      <c r="Y7" s="407"/>
      <c r="Z7" s="407"/>
      <c r="AA7" s="407">
        <f>X7-U7</f>
        <v>-152</v>
      </c>
      <c r="AB7" s="407"/>
      <c r="AC7" s="407"/>
      <c r="AD7" s="418">
        <f>(X7/U7)*100</f>
        <v>67.7</v>
      </c>
      <c r="AE7" s="418"/>
      <c r="AF7" s="418"/>
    </row>
    <row r="8" spans="1:32" ht="45.75" customHeight="1">
      <c r="A8" s="205">
        <v>3</v>
      </c>
      <c r="B8" s="425" t="s">
        <v>473</v>
      </c>
      <c r="C8" s="425"/>
      <c r="D8" s="420">
        <v>2014</v>
      </c>
      <c r="E8" s="420"/>
      <c r="F8" s="420"/>
      <c r="G8" s="420" t="s">
        <v>471</v>
      </c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07">
        <v>38</v>
      </c>
      <c r="S8" s="407"/>
      <c r="T8" s="407"/>
      <c r="U8" s="407"/>
      <c r="V8" s="407"/>
      <c r="W8" s="407"/>
      <c r="X8" s="407"/>
      <c r="Y8" s="407"/>
      <c r="Z8" s="407"/>
      <c r="AA8" s="407">
        <f>X8-U8</f>
        <v>0</v>
      </c>
      <c r="AB8" s="407"/>
      <c r="AC8" s="407"/>
      <c r="AD8" s="426" t="e">
        <f>(X8/U8)*100</f>
        <v>#DIV/0!</v>
      </c>
      <c r="AE8" s="426"/>
      <c r="AF8" s="426"/>
    </row>
    <row r="9" spans="1:32" ht="24.75" customHeight="1">
      <c r="A9" s="417" t="s">
        <v>88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378">
        <f>SUM(R6:R8)</f>
        <v>501</v>
      </c>
      <c r="S9" s="378"/>
      <c r="T9" s="378"/>
      <c r="U9" s="378">
        <f>SUM(U6:U8)</f>
        <v>730</v>
      </c>
      <c r="V9" s="378"/>
      <c r="W9" s="378"/>
      <c r="X9" s="378">
        <f>SUM(X6:X8)</f>
        <v>583</v>
      </c>
      <c r="Y9" s="378"/>
      <c r="Z9" s="378"/>
      <c r="AA9" s="407">
        <f>X9-U9</f>
        <v>-147</v>
      </c>
      <c r="AB9" s="407"/>
      <c r="AC9" s="407"/>
      <c r="AD9" s="418">
        <f>(X9/U9)*100</f>
        <v>79.9</v>
      </c>
      <c r="AE9" s="418"/>
      <c r="AF9" s="418"/>
    </row>
    <row r="10" spans="1:32" ht="11.25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9"/>
      <c r="AF10" s="209"/>
    </row>
    <row r="11" spans="1:32" ht="10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8"/>
      <c r="P11" s="68"/>
      <c r="Q11" s="68"/>
      <c r="R11" s="31"/>
      <c r="S11" s="31"/>
      <c r="T11" s="31"/>
      <c r="U11" s="31"/>
      <c r="V11" s="31"/>
      <c r="W11" s="31"/>
      <c r="X11" s="69"/>
      <c r="Y11" s="69"/>
      <c r="Z11" s="69"/>
      <c r="AA11" s="69"/>
      <c r="AB11" s="69"/>
      <c r="AC11" s="69"/>
      <c r="AD11" s="69"/>
      <c r="AE11" s="70"/>
      <c r="AF11" s="70"/>
    </row>
    <row r="12" s="45" customFormat="1" ht="18.75" customHeight="1">
      <c r="C12" s="45" t="s">
        <v>474</v>
      </c>
    </row>
    <row r="13" s="45" customFormat="1" ht="18.75" customHeight="1"/>
    <row r="14" spans="1:32" ht="45.75" customHeight="1">
      <c r="A14" s="416" t="s">
        <v>460</v>
      </c>
      <c r="B14" s="416" t="s">
        <v>475</v>
      </c>
      <c r="C14" s="416"/>
      <c r="D14" s="337" t="s">
        <v>461</v>
      </c>
      <c r="E14" s="337"/>
      <c r="F14" s="337"/>
      <c r="G14" s="337"/>
      <c r="H14" s="337" t="s">
        <v>463</v>
      </c>
      <c r="I14" s="337"/>
      <c r="J14" s="337"/>
      <c r="K14" s="337"/>
      <c r="L14" s="337"/>
      <c r="M14" s="337"/>
      <c r="N14" s="337"/>
      <c r="O14" s="337"/>
      <c r="P14" s="337" t="s">
        <v>476</v>
      </c>
      <c r="Q14" s="337"/>
      <c r="R14" s="360" t="s">
        <v>464</v>
      </c>
      <c r="S14" s="360"/>
      <c r="T14" s="360"/>
      <c r="U14" s="360"/>
      <c r="V14" s="360"/>
      <c r="W14" s="360"/>
      <c r="X14" s="360"/>
      <c r="Y14" s="360"/>
      <c r="Z14" s="360"/>
      <c r="AA14" s="337" t="s">
        <v>465</v>
      </c>
      <c r="AB14" s="337"/>
      <c r="AC14" s="337"/>
      <c r="AD14" s="337" t="s">
        <v>466</v>
      </c>
      <c r="AE14" s="337"/>
      <c r="AF14" s="337"/>
    </row>
    <row r="15" spans="1:32" ht="24.75" customHeight="1">
      <c r="A15" s="416"/>
      <c r="B15" s="416"/>
      <c r="C15" s="416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 t="s">
        <v>477</v>
      </c>
      <c r="S15" s="337"/>
      <c r="T15" s="337"/>
      <c r="U15" s="337" t="s">
        <v>478</v>
      </c>
      <c r="V15" s="337"/>
      <c r="W15" s="337"/>
      <c r="X15" s="337" t="s">
        <v>479</v>
      </c>
      <c r="Y15" s="337"/>
      <c r="Z15" s="337"/>
      <c r="AA15" s="337"/>
      <c r="AB15" s="337"/>
      <c r="AC15" s="337"/>
      <c r="AD15" s="337"/>
      <c r="AE15" s="337"/>
      <c r="AF15" s="337"/>
    </row>
    <row r="16" spans="1:32" ht="48" customHeight="1">
      <c r="A16" s="416"/>
      <c r="B16" s="416"/>
      <c r="C16" s="416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</row>
    <row r="17" spans="1:32" ht="18.75" customHeight="1">
      <c r="A17" s="206">
        <v>1</v>
      </c>
      <c r="B17" s="424">
        <v>2</v>
      </c>
      <c r="C17" s="424"/>
      <c r="D17" s="423">
        <v>3</v>
      </c>
      <c r="E17" s="423"/>
      <c r="F17" s="423"/>
      <c r="G17" s="423"/>
      <c r="H17" s="423">
        <v>4</v>
      </c>
      <c r="I17" s="423"/>
      <c r="J17" s="423"/>
      <c r="K17" s="423"/>
      <c r="L17" s="423"/>
      <c r="M17" s="423"/>
      <c r="N17" s="423"/>
      <c r="O17" s="423"/>
      <c r="P17" s="423">
        <v>5</v>
      </c>
      <c r="Q17" s="423"/>
      <c r="R17" s="423">
        <v>6</v>
      </c>
      <c r="S17" s="423"/>
      <c r="T17" s="423"/>
      <c r="U17" s="423">
        <v>7</v>
      </c>
      <c r="V17" s="423"/>
      <c r="W17" s="423"/>
      <c r="X17" s="423">
        <v>8</v>
      </c>
      <c r="Y17" s="423"/>
      <c r="Z17" s="423"/>
      <c r="AA17" s="423">
        <v>9</v>
      </c>
      <c r="AB17" s="423"/>
      <c r="AC17" s="423"/>
      <c r="AD17" s="423">
        <v>10</v>
      </c>
      <c r="AE17" s="423"/>
      <c r="AF17" s="423"/>
    </row>
    <row r="18" spans="1:32" ht="19.5" customHeight="1">
      <c r="A18" s="210"/>
      <c r="B18" s="419"/>
      <c r="C18" s="419"/>
      <c r="D18" s="420"/>
      <c r="E18" s="420"/>
      <c r="F18" s="420"/>
      <c r="G18" s="420"/>
      <c r="H18" s="421"/>
      <c r="I18" s="421"/>
      <c r="J18" s="421"/>
      <c r="K18" s="421"/>
      <c r="L18" s="421"/>
      <c r="M18" s="421"/>
      <c r="N18" s="421"/>
      <c r="O18" s="421"/>
      <c r="P18" s="422"/>
      <c r="Q18" s="422"/>
      <c r="R18" s="407"/>
      <c r="S18" s="407"/>
      <c r="T18" s="407"/>
      <c r="U18" s="407"/>
      <c r="V18" s="407"/>
      <c r="W18" s="407"/>
      <c r="X18" s="407"/>
      <c r="Y18" s="407"/>
      <c r="Z18" s="407"/>
      <c r="AA18" s="407">
        <f>X18-U18</f>
        <v>0</v>
      </c>
      <c r="AB18" s="407"/>
      <c r="AC18" s="407"/>
      <c r="AD18" s="418" t="e">
        <f>(X18/U18)*100</f>
        <v>#DIV/0!</v>
      </c>
      <c r="AE18" s="418"/>
      <c r="AF18" s="418"/>
    </row>
    <row r="19" spans="1:32" ht="19.5" customHeight="1">
      <c r="A19" s="210"/>
      <c r="B19" s="419"/>
      <c r="C19" s="419"/>
      <c r="D19" s="420"/>
      <c r="E19" s="420"/>
      <c r="F19" s="420"/>
      <c r="G19" s="420"/>
      <c r="H19" s="421"/>
      <c r="I19" s="421"/>
      <c r="J19" s="421"/>
      <c r="K19" s="421"/>
      <c r="L19" s="421"/>
      <c r="M19" s="421"/>
      <c r="N19" s="421"/>
      <c r="O19" s="421"/>
      <c r="P19" s="422"/>
      <c r="Q19" s="422"/>
      <c r="R19" s="407"/>
      <c r="S19" s="407"/>
      <c r="T19" s="407"/>
      <c r="U19" s="407"/>
      <c r="V19" s="407"/>
      <c r="W19" s="407"/>
      <c r="X19" s="407"/>
      <c r="Y19" s="407"/>
      <c r="Z19" s="407"/>
      <c r="AA19" s="407">
        <f>X19-U19</f>
        <v>0</v>
      </c>
      <c r="AB19" s="407"/>
      <c r="AC19" s="407"/>
      <c r="AD19" s="418" t="e">
        <f>(X19/U19)*100</f>
        <v>#DIV/0!</v>
      </c>
      <c r="AE19" s="418"/>
      <c r="AF19" s="418"/>
    </row>
    <row r="20" spans="1:32" ht="19.5" customHeight="1">
      <c r="A20" s="210"/>
      <c r="B20" s="419"/>
      <c r="C20" s="419"/>
      <c r="D20" s="420"/>
      <c r="E20" s="420"/>
      <c r="F20" s="420"/>
      <c r="G20" s="420"/>
      <c r="H20" s="421"/>
      <c r="I20" s="421"/>
      <c r="J20" s="421"/>
      <c r="K20" s="421"/>
      <c r="L20" s="421"/>
      <c r="M20" s="421"/>
      <c r="N20" s="421"/>
      <c r="O20" s="421"/>
      <c r="P20" s="422"/>
      <c r="Q20" s="422"/>
      <c r="R20" s="407"/>
      <c r="S20" s="407"/>
      <c r="T20" s="407"/>
      <c r="U20" s="407"/>
      <c r="V20" s="407"/>
      <c r="W20" s="407"/>
      <c r="X20" s="407"/>
      <c r="Y20" s="407"/>
      <c r="Z20" s="407"/>
      <c r="AA20" s="407">
        <f>X20-U20</f>
        <v>0</v>
      </c>
      <c r="AB20" s="407"/>
      <c r="AC20" s="407"/>
      <c r="AD20" s="418" t="e">
        <f>(X20/U20)*100</f>
        <v>#DIV/0!</v>
      </c>
      <c r="AE20" s="418"/>
      <c r="AF20" s="418"/>
    </row>
    <row r="21" spans="1:32" ht="19.5" customHeight="1">
      <c r="A21" s="210"/>
      <c r="B21" s="419"/>
      <c r="C21" s="419"/>
      <c r="D21" s="420"/>
      <c r="E21" s="420"/>
      <c r="F21" s="420"/>
      <c r="G21" s="420"/>
      <c r="H21" s="421"/>
      <c r="I21" s="421"/>
      <c r="J21" s="421"/>
      <c r="K21" s="421"/>
      <c r="L21" s="421"/>
      <c r="M21" s="421"/>
      <c r="N21" s="421"/>
      <c r="O21" s="421"/>
      <c r="P21" s="422"/>
      <c r="Q21" s="422"/>
      <c r="R21" s="407"/>
      <c r="S21" s="407"/>
      <c r="T21" s="407"/>
      <c r="U21" s="407"/>
      <c r="V21" s="407"/>
      <c r="W21" s="407"/>
      <c r="X21" s="407"/>
      <c r="Y21" s="407"/>
      <c r="Z21" s="407"/>
      <c r="AA21" s="407">
        <f>X21-U21</f>
        <v>0</v>
      </c>
      <c r="AB21" s="407"/>
      <c r="AC21" s="407"/>
      <c r="AD21" s="418" t="e">
        <f>(X21/U21)*100</f>
        <v>#DIV/0!</v>
      </c>
      <c r="AE21" s="418"/>
      <c r="AF21" s="418"/>
    </row>
    <row r="22" spans="1:32" ht="24.75" customHeight="1">
      <c r="A22" s="417" t="s">
        <v>88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378">
        <f>SUM(R18:R21)</f>
        <v>0</v>
      </c>
      <c r="S22" s="378"/>
      <c r="T22" s="378"/>
      <c r="U22" s="378">
        <f>SUM(U18:U21)</f>
        <v>0</v>
      </c>
      <c r="V22" s="378"/>
      <c r="W22" s="378"/>
      <c r="X22" s="378">
        <f>SUM(X18:X21)</f>
        <v>0</v>
      </c>
      <c r="Y22" s="378"/>
      <c r="Z22" s="378"/>
      <c r="AA22" s="407">
        <f>X22-U22</f>
        <v>0</v>
      </c>
      <c r="AB22" s="407"/>
      <c r="AC22" s="407"/>
      <c r="AD22" s="418" t="e">
        <f>(X22/U22)*100</f>
        <v>#DIV/0!</v>
      </c>
      <c r="AE22" s="418"/>
      <c r="AF22" s="418"/>
    </row>
    <row r="23" spans="1:36" ht="18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R23" s="211"/>
      <c r="S23" s="211"/>
      <c r="T23" s="211"/>
      <c r="U23" s="211"/>
      <c r="V23" s="211"/>
      <c r="AJ23" s="211"/>
    </row>
    <row r="24" spans="1:36" ht="16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R24" s="211"/>
      <c r="S24" s="211"/>
      <c r="T24" s="211"/>
      <c r="U24" s="211"/>
      <c r="V24" s="211"/>
      <c r="AJ24" s="211"/>
    </row>
    <row r="25" s="45" customFormat="1" ht="18.75" customHeight="1">
      <c r="C25" s="45" t="s">
        <v>480</v>
      </c>
    </row>
    <row r="26" spans="1:36" ht="18.75">
      <c r="A26" s="24"/>
      <c r="B26" s="24"/>
      <c r="C26" s="24"/>
      <c r="D26" s="24"/>
      <c r="E26" s="24"/>
      <c r="F26" s="24"/>
      <c r="G26" s="24"/>
      <c r="H26" s="24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4"/>
      <c r="AD26" s="415"/>
      <c r="AE26" s="415"/>
      <c r="AF26" s="415"/>
      <c r="AH26" s="412" t="s">
        <v>481</v>
      </c>
      <c r="AI26" s="412"/>
      <c r="AJ26" s="412"/>
    </row>
    <row r="27" spans="1:36" ht="60" customHeight="1">
      <c r="A27" s="416" t="s">
        <v>460</v>
      </c>
      <c r="B27" s="416" t="s">
        <v>482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4" t="s">
        <v>483</v>
      </c>
      <c r="N27" s="414"/>
      <c r="O27" s="414"/>
      <c r="P27" s="414"/>
      <c r="Q27" s="414" t="s">
        <v>484</v>
      </c>
      <c r="R27" s="414"/>
      <c r="S27" s="414"/>
      <c r="T27" s="414"/>
      <c r="U27" s="414" t="s">
        <v>485</v>
      </c>
      <c r="V27" s="414"/>
      <c r="W27" s="414"/>
      <c r="X27" s="414"/>
      <c r="Y27" s="414" t="s">
        <v>486</v>
      </c>
      <c r="Z27" s="414"/>
      <c r="AA27" s="414"/>
      <c r="AB27" s="414"/>
      <c r="AC27" s="414" t="s">
        <v>487</v>
      </c>
      <c r="AD27" s="414"/>
      <c r="AE27" s="414"/>
      <c r="AF27" s="414"/>
      <c r="AG27" s="414" t="s">
        <v>88</v>
      </c>
      <c r="AH27" s="414"/>
      <c r="AI27" s="414"/>
      <c r="AJ27" s="414"/>
    </row>
    <row r="28" spans="1:36" ht="24.75" customHeight="1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4" t="s">
        <v>374</v>
      </c>
      <c r="N28" s="414" t="s">
        <v>41</v>
      </c>
      <c r="O28" s="414" t="s">
        <v>42</v>
      </c>
      <c r="P28" s="414" t="s">
        <v>43</v>
      </c>
      <c r="Q28" s="414" t="s">
        <v>374</v>
      </c>
      <c r="R28" s="414" t="s">
        <v>41</v>
      </c>
      <c r="S28" s="414" t="s">
        <v>42</v>
      </c>
      <c r="T28" s="414" t="s">
        <v>43</v>
      </c>
      <c r="U28" s="414" t="s">
        <v>374</v>
      </c>
      <c r="V28" s="414" t="s">
        <v>41</v>
      </c>
      <c r="W28" s="414" t="s">
        <v>42</v>
      </c>
      <c r="X28" s="414" t="s">
        <v>43</v>
      </c>
      <c r="Y28" s="414" t="s">
        <v>374</v>
      </c>
      <c r="Z28" s="414" t="s">
        <v>41</v>
      </c>
      <c r="AA28" s="414" t="s">
        <v>42</v>
      </c>
      <c r="AB28" s="414" t="s">
        <v>43</v>
      </c>
      <c r="AC28" s="414" t="s">
        <v>374</v>
      </c>
      <c r="AD28" s="414" t="s">
        <v>41</v>
      </c>
      <c r="AE28" s="414" t="s">
        <v>42</v>
      </c>
      <c r="AF28" s="414" t="s">
        <v>43</v>
      </c>
      <c r="AG28" s="414" t="s">
        <v>374</v>
      </c>
      <c r="AH28" s="414" t="s">
        <v>41</v>
      </c>
      <c r="AI28" s="414" t="s">
        <v>42</v>
      </c>
      <c r="AJ28" s="414" t="s">
        <v>43</v>
      </c>
    </row>
    <row r="29" spans="1:36" ht="24.75" customHeight="1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</row>
    <row r="30" spans="1:36" ht="18.75" customHeight="1">
      <c r="A30" s="212">
        <v>1</v>
      </c>
      <c r="B30" s="413">
        <v>2</v>
      </c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203">
        <v>3</v>
      </c>
      <c r="N30" s="203">
        <v>4</v>
      </c>
      <c r="O30" s="203">
        <v>5</v>
      </c>
      <c r="P30" s="203">
        <v>6</v>
      </c>
      <c r="Q30" s="203">
        <v>7</v>
      </c>
      <c r="R30" s="203">
        <v>8</v>
      </c>
      <c r="S30" s="203">
        <v>9</v>
      </c>
      <c r="T30" s="203">
        <v>10</v>
      </c>
      <c r="U30" s="203">
        <v>11</v>
      </c>
      <c r="V30" s="203">
        <v>12</v>
      </c>
      <c r="W30" s="203">
        <v>13</v>
      </c>
      <c r="X30" s="203">
        <v>14</v>
      </c>
      <c r="Y30" s="203">
        <v>15</v>
      </c>
      <c r="Z30" s="203">
        <v>16</v>
      </c>
      <c r="AA30" s="203">
        <v>17</v>
      </c>
      <c r="AB30" s="203">
        <v>18</v>
      </c>
      <c r="AC30" s="203">
        <v>19</v>
      </c>
      <c r="AD30" s="203">
        <v>20</v>
      </c>
      <c r="AE30" s="203">
        <v>21</v>
      </c>
      <c r="AF30" s="203">
        <v>22</v>
      </c>
      <c r="AG30" s="203">
        <v>23</v>
      </c>
      <c r="AH30" s="203">
        <v>24</v>
      </c>
      <c r="AI30" s="203">
        <v>25</v>
      </c>
      <c r="AJ30" s="203">
        <v>26</v>
      </c>
    </row>
    <row r="31" spans="1:36" ht="51" customHeight="1">
      <c r="A31" s="213">
        <v>1</v>
      </c>
      <c r="B31" s="411" t="s">
        <v>488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109"/>
      <c r="N31" s="109"/>
      <c r="O31" s="109">
        <f>N31-M31</f>
        <v>0</v>
      </c>
      <c r="P31" s="110" t="e">
        <f>N31/M31*100</f>
        <v>#DIV/0!</v>
      </c>
      <c r="Q31" s="109"/>
      <c r="R31" s="109"/>
      <c r="S31" s="109">
        <f>R31-Q31</f>
        <v>0</v>
      </c>
      <c r="T31" s="110" t="e">
        <f>R31/Q31*100</f>
        <v>#DIV/0!</v>
      </c>
      <c r="U31" s="109">
        <v>13319</v>
      </c>
      <c r="V31" s="109">
        <v>14836</v>
      </c>
      <c r="W31" s="109">
        <f>V31-U31</f>
        <v>1517</v>
      </c>
      <c r="X31" s="110">
        <f>V31/U31*100</f>
        <v>111.4</v>
      </c>
      <c r="Y31" s="110"/>
      <c r="Z31" s="110"/>
      <c r="AA31" s="214">
        <f>SUM(Z31)-Y31</f>
        <v>0</v>
      </c>
      <c r="AB31" s="110" t="e">
        <f>SUM(Z31)/Y31*100</f>
        <v>#DIV/0!</v>
      </c>
      <c r="AC31" s="109"/>
      <c r="AD31" s="109"/>
      <c r="AE31" s="109">
        <f>AD31-AC31</f>
        <v>0</v>
      </c>
      <c r="AF31" s="110" t="e">
        <f>AD31/AC31*100</f>
        <v>#DIV/0!</v>
      </c>
      <c r="AG31" s="109">
        <f aca="true" t="shared" si="0" ref="AG31:AH37">SUM(M31,Q31,U31,AC31,Y31)</f>
        <v>13319</v>
      </c>
      <c r="AH31" s="109">
        <f aca="true" t="shared" si="1" ref="AH31:AH37">SUM(N31,R31,V31,AD31,Z31)</f>
        <v>14836</v>
      </c>
      <c r="AI31" s="109">
        <f>AH31-AG31</f>
        <v>1517</v>
      </c>
      <c r="AJ31" s="110">
        <f>AH31/AG31*100</f>
        <v>111.4</v>
      </c>
    </row>
    <row r="32" spans="1:36" ht="44.25" customHeight="1">
      <c r="A32" s="213">
        <v>2</v>
      </c>
      <c r="B32" s="411" t="s">
        <v>130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109"/>
      <c r="N32" s="109"/>
      <c r="O32" s="109">
        <f>N32-M32</f>
        <v>0</v>
      </c>
      <c r="P32" s="110" t="e">
        <f>N32/M32*100</f>
        <v>#DIV/0!</v>
      </c>
      <c r="Q32" s="109"/>
      <c r="R32" s="109"/>
      <c r="S32" s="109"/>
      <c r="T32" s="110" t="e">
        <f>R32/Q32*100</f>
        <v>#DIV/0!</v>
      </c>
      <c r="U32" s="109"/>
      <c r="V32" s="109">
        <v>739</v>
      </c>
      <c r="W32" s="109">
        <f>V32-U32</f>
        <v>739</v>
      </c>
      <c r="X32" s="110" t="e">
        <f>V32/U32*100</f>
        <v>#DIV/0!</v>
      </c>
      <c r="Y32" s="110"/>
      <c r="Z32" s="110"/>
      <c r="AA32" s="214">
        <f>SUM(Z32)-Y32</f>
        <v>0</v>
      </c>
      <c r="AB32" s="110" t="e">
        <f>SUM(Z32)/Y32*100</f>
        <v>#DIV/0!</v>
      </c>
      <c r="AC32" s="109"/>
      <c r="AD32" s="109"/>
      <c r="AE32" s="109">
        <f>AD32-AC32</f>
        <v>0</v>
      </c>
      <c r="AF32" s="110" t="e">
        <f>AD32/AC32*100</f>
        <v>#DIV/0!</v>
      </c>
      <c r="AG32" s="109">
        <f t="shared" si="0"/>
        <v>0</v>
      </c>
      <c r="AH32" s="109">
        <f t="shared" si="1"/>
        <v>739</v>
      </c>
      <c r="AI32" s="109">
        <f>AH32-AG32</f>
        <v>739</v>
      </c>
      <c r="AJ32" s="110" t="e">
        <f>AH32/AG32*100</f>
        <v>#DIV/0!</v>
      </c>
    </row>
    <row r="33" spans="1:36" ht="45.75" customHeight="1">
      <c r="A33" s="213">
        <v>3</v>
      </c>
      <c r="B33" s="411" t="s">
        <v>489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109"/>
      <c r="N33" s="109"/>
      <c r="O33" s="109">
        <f>N33-M33</f>
        <v>0</v>
      </c>
      <c r="P33" s="110" t="e">
        <f>N33/M33*100</f>
        <v>#DIV/0!</v>
      </c>
      <c r="Q33" s="109"/>
      <c r="R33" s="109"/>
      <c r="S33" s="109"/>
      <c r="T33" s="110" t="e">
        <f>R33/Q33*100</f>
        <v>#DIV/0!</v>
      </c>
      <c r="U33" s="109"/>
      <c r="V33" s="109">
        <v>3431</v>
      </c>
      <c r="W33" s="109">
        <f>V33-U33</f>
        <v>3431</v>
      </c>
      <c r="X33" s="110" t="e">
        <f>V33/U33*100</f>
        <v>#DIV/0!</v>
      </c>
      <c r="Y33" s="110"/>
      <c r="Z33" s="110"/>
      <c r="AA33" s="214">
        <f>SUM(Z33)-Y33</f>
        <v>0</v>
      </c>
      <c r="AB33" s="110" t="e">
        <f>SUM(Z33)/Y33*100</f>
        <v>#DIV/0!</v>
      </c>
      <c r="AC33" s="109"/>
      <c r="AD33" s="109"/>
      <c r="AE33" s="109">
        <f>AD33-AC33</f>
        <v>0</v>
      </c>
      <c r="AF33" s="110" t="e">
        <f>AD33/AC33*100</f>
        <v>#DIV/0!</v>
      </c>
      <c r="AG33" s="109">
        <f t="shared" si="0"/>
        <v>0</v>
      </c>
      <c r="AH33" s="109">
        <f t="shared" si="1"/>
        <v>3431</v>
      </c>
      <c r="AI33" s="109">
        <f>AH33-AG33</f>
        <v>3431</v>
      </c>
      <c r="AJ33" s="110" t="e">
        <f>AH33/AG33*100</f>
        <v>#DIV/0!</v>
      </c>
    </row>
    <row r="34" spans="1:36" ht="46.5" customHeight="1">
      <c r="A34" s="213">
        <v>4</v>
      </c>
      <c r="B34" s="411" t="s">
        <v>132</v>
      </c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109"/>
      <c r="N34" s="109"/>
      <c r="O34" s="109">
        <f>N34-M34</f>
        <v>0</v>
      </c>
      <c r="P34" s="110" t="e">
        <f>N34/M34*100</f>
        <v>#DIV/0!</v>
      </c>
      <c r="Q34" s="109">
        <v>46250</v>
      </c>
      <c r="R34" s="109">
        <v>0</v>
      </c>
      <c r="S34" s="109">
        <f>R34-Q34</f>
        <v>-46250</v>
      </c>
      <c r="T34" s="110">
        <f>R34/Q34*100</f>
        <v>0</v>
      </c>
      <c r="U34" s="109">
        <v>3430</v>
      </c>
      <c r="V34" s="109">
        <v>4</v>
      </c>
      <c r="W34" s="109">
        <f>V34-U34</f>
        <v>-3426</v>
      </c>
      <c r="X34" s="110">
        <f>V34/U34*100</f>
        <v>0.1</v>
      </c>
      <c r="Y34" s="110"/>
      <c r="Z34" s="110"/>
      <c r="AA34" s="214">
        <f>SUM(Z34)-Y34</f>
        <v>0</v>
      </c>
      <c r="AB34" s="110" t="e">
        <f>SUM(Z34)/Y34*100</f>
        <v>#DIV/0!</v>
      </c>
      <c r="AC34" s="109"/>
      <c r="AD34" s="109"/>
      <c r="AE34" s="109">
        <f>AD34-AC34</f>
        <v>0</v>
      </c>
      <c r="AF34" s="110" t="e">
        <f>AD34/AC34*100</f>
        <v>#DIV/0!</v>
      </c>
      <c r="AG34" s="109">
        <f t="shared" si="0"/>
        <v>49680</v>
      </c>
      <c r="AH34" s="109">
        <f t="shared" si="1"/>
        <v>4</v>
      </c>
      <c r="AI34" s="109">
        <f>AH34-AG34</f>
        <v>-49676</v>
      </c>
      <c r="AJ34" s="110">
        <f>AH34/AG34*100</f>
        <v>0</v>
      </c>
    </row>
    <row r="35" spans="1:36" ht="33" customHeight="1">
      <c r="A35" s="213">
        <v>5</v>
      </c>
      <c r="B35" s="411" t="s">
        <v>133</v>
      </c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109"/>
      <c r="N35" s="109"/>
      <c r="O35" s="109"/>
      <c r="P35" s="110"/>
      <c r="Q35" s="109"/>
      <c r="R35" s="109"/>
      <c r="S35" s="109"/>
      <c r="T35" s="110"/>
      <c r="U35" s="109">
        <v>524</v>
      </c>
      <c r="V35" s="109"/>
      <c r="W35" s="109"/>
      <c r="X35" s="110"/>
      <c r="Y35" s="110"/>
      <c r="Z35" s="110"/>
      <c r="AA35" s="214"/>
      <c r="AB35" s="110"/>
      <c r="AC35" s="109"/>
      <c r="AD35" s="109"/>
      <c r="AE35" s="109"/>
      <c r="AF35" s="110"/>
      <c r="AG35" s="109">
        <f t="shared" si="0"/>
        <v>524</v>
      </c>
      <c r="AH35" s="109">
        <f t="shared" si="1"/>
        <v>0</v>
      </c>
      <c r="AI35" s="109">
        <f>AH35-AG35</f>
        <v>-524</v>
      </c>
      <c r="AJ35" s="110"/>
    </row>
    <row r="36" spans="1:36" ht="24.75" customHeight="1">
      <c r="A36" s="411" t="s">
        <v>88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108">
        <f>SUM(M31:M34)</f>
        <v>0</v>
      </c>
      <c r="N36" s="108">
        <f>SUM(N31:N34)</f>
        <v>0</v>
      </c>
      <c r="O36" s="109">
        <f>SUM(O31:O34)</f>
        <v>0</v>
      </c>
      <c r="P36" s="110" t="e">
        <f>N36/M36*100</f>
        <v>#DIV/0!</v>
      </c>
      <c r="Q36" s="108">
        <f>SUM(Q31:Q35)</f>
        <v>46250</v>
      </c>
      <c r="R36" s="108">
        <f>SUM(R31:R35)</f>
        <v>0</v>
      </c>
      <c r="S36" s="109">
        <f>SUM(S31:S35)</f>
        <v>-46250</v>
      </c>
      <c r="T36" s="110">
        <f>R36/Q36*100</f>
        <v>0</v>
      </c>
      <c r="U36" s="108">
        <f>SUM(U31:U35)</f>
        <v>17273</v>
      </c>
      <c r="V36" s="108">
        <f>SUM(V31:V35)</f>
        <v>19010</v>
      </c>
      <c r="W36" s="109">
        <f>SUM(W31:W35)</f>
        <v>2261</v>
      </c>
      <c r="X36" s="110">
        <f>V36/U36*100</f>
        <v>110.1</v>
      </c>
      <c r="Y36" s="109">
        <f>SUM(Y31:Y34)</f>
        <v>0</v>
      </c>
      <c r="Z36" s="109">
        <f>SUM(Z31:Z34)</f>
        <v>0</v>
      </c>
      <c r="AA36" s="214">
        <f>SUM(Z36)-Y36</f>
        <v>0</v>
      </c>
      <c r="AB36" s="110" t="e">
        <f>SUM(Z36)/Y36*100</f>
        <v>#DIV/0!</v>
      </c>
      <c r="AC36" s="108">
        <f>SUM(AC31:AC34)</f>
        <v>0</v>
      </c>
      <c r="AD36" s="108">
        <f>SUM(AD31:AD34)</f>
        <v>0</v>
      </c>
      <c r="AE36" s="109">
        <f>SUM(AE31:AE34)</f>
        <v>0</v>
      </c>
      <c r="AF36" s="110" t="e">
        <f>AD36/AC36*100</f>
        <v>#DIV/0!</v>
      </c>
      <c r="AG36" s="108">
        <f t="shared" si="0"/>
        <v>63523</v>
      </c>
      <c r="AH36" s="108">
        <f t="shared" si="0"/>
        <v>19010</v>
      </c>
      <c r="AI36" s="109">
        <f>SUM(AI31:AI35)</f>
        <v>-44513</v>
      </c>
      <c r="AJ36" s="110">
        <f>AH36/AG36*100</f>
        <v>29.9</v>
      </c>
    </row>
    <row r="37" spans="1:36" ht="24.75" customHeight="1">
      <c r="A37" s="411" t="s">
        <v>490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215">
        <f>M36/AG36*100</f>
        <v>0</v>
      </c>
      <c r="N37" s="215">
        <f>N36/AH36*100</f>
        <v>0</v>
      </c>
      <c r="O37" s="110"/>
      <c r="P37" s="110"/>
      <c r="Q37" s="215">
        <f>Q36/AG36*100</f>
        <v>72.8</v>
      </c>
      <c r="R37" s="215">
        <f>R36/AH36*100</f>
        <v>0</v>
      </c>
      <c r="S37" s="110"/>
      <c r="T37" s="110"/>
      <c r="U37" s="215">
        <f>U36/AG36*100</f>
        <v>27.2</v>
      </c>
      <c r="V37" s="215">
        <f>V36/AH36*100</f>
        <v>100</v>
      </c>
      <c r="W37" s="216"/>
      <c r="X37" s="216"/>
      <c r="Y37" s="108">
        <f>Y36/AG36*100</f>
        <v>0</v>
      </c>
      <c r="Z37" s="108">
        <f>Z36/AH36*100</f>
        <v>0</v>
      </c>
      <c r="AA37" s="216"/>
      <c r="AB37" s="216"/>
      <c r="AC37" s="215">
        <f>AC36/AG36*100</f>
        <v>0</v>
      </c>
      <c r="AD37" s="215">
        <f>AD36/AH36*100</f>
        <v>0</v>
      </c>
      <c r="AE37" s="110"/>
      <c r="AF37" s="110"/>
      <c r="AG37" s="108">
        <f t="shared" si="0"/>
        <v>100</v>
      </c>
      <c r="AH37" s="108">
        <f t="shared" si="1"/>
        <v>100</v>
      </c>
      <c r="AI37" s="110"/>
      <c r="AJ37" s="110"/>
    </row>
    <row r="38" spans="1:36" ht="15" customHeight="1">
      <c r="A38" s="42"/>
      <c r="B38" s="42"/>
      <c r="C38" s="42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</row>
    <row r="39" spans="1:22" ht="15" customHeight="1">
      <c r="A39" s="42"/>
      <c r="B39" s="42"/>
      <c r="C39" s="42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="45" customFormat="1" ht="31.5" customHeight="1">
      <c r="C40" s="45" t="s">
        <v>491</v>
      </c>
    </row>
    <row r="41" spans="1:36" s="217" customFormat="1" ht="18.75">
      <c r="A41" s="34"/>
      <c r="B41" s="34"/>
      <c r="C41" s="34"/>
      <c r="D41" s="34"/>
      <c r="E41" s="34"/>
      <c r="F41" s="34"/>
      <c r="G41" s="34"/>
      <c r="H41" s="34"/>
      <c r="I41" s="34"/>
      <c r="J41" s="34"/>
      <c r="L41" s="34"/>
      <c r="AD41" s="217" t="s">
        <v>481</v>
      </c>
      <c r="AH41" s="412"/>
      <c r="AI41" s="412"/>
      <c r="AJ41" s="412"/>
    </row>
    <row r="42" spans="1:32" s="218" customFormat="1" ht="34.5" customHeight="1">
      <c r="A42" s="360" t="s">
        <v>460</v>
      </c>
      <c r="B42" s="337" t="s">
        <v>492</v>
      </c>
      <c r="C42" s="337"/>
      <c r="D42" s="337" t="s">
        <v>493</v>
      </c>
      <c r="E42" s="337"/>
      <c r="F42" s="337" t="s">
        <v>494</v>
      </c>
      <c r="G42" s="337"/>
      <c r="H42" s="337" t="s">
        <v>495</v>
      </c>
      <c r="I42" s="337"/>
      <c r="J42" s="337" t="s">
        <v>496</v>
      </c>
      <c r="K42" s="337"/>
      <c r="L42" s="337" t="s">
        <v>497</v>
      </c>
      <c r="M42" s="337"/>
      <c r="N42" s="337"/>
      <c r="O42" s="337"/>
      <c r="P42" s="337"/>
      <c r="Q42" s="337"/>
      <c r="R42" s="337"/>
      <c r="S42" s="337"/>
      <c r="T42" s="337"/>
      <c r="U42" s="337"/>
      <c r="V42" s="410" t="s">
        <v>498</v>
      </c>
      <c r="W42" s="410"/>
      <c r="X42" s="410"/>
      <c r="Y42" s="410"/>
      <c r="Z42" s="410"/>
      <c r="AA42" s="410" t="s">
        <v>499</v>
      </c>
      <c r="AB42" s="410"/>
      <c r="AC42" s="410"/>
      <c r="AD42" s="410"/>
      <c r="AE42" s="410"/>
      <c r="AF42" s="410"/>
    </row>
    <row r="43" spans="1:32" s="218" customFormat="1" ht="52.5" customHeight="1">
      <c r="A43" s="360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 t="s">
        <v>500</v>
      </c>
      <c r="M43" s="337"/>
      <c r="N43" s="337" t="s">
        <v>501</v>
      </c>
      <c r="O43" s="337"/>
      <c r="P43" s="337" t="s">
        <v>502</v>
      </c>
      <c r="Q43" s="337"/>
      <c r="R43" s="337"/>
      <c r="S43" s="337"/>
      <c r="T43" s="337"/>
      <c r="U43" s="337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</row>
    <row r="44" spans="1:32" s="219" customFormat="1" ht="82.5" customHeight="1">
      <c r="A44" s="360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 t="s">
        <v>139</v>
      </c>
      <c r="Q44" s="337"/>
      <c r="R44" s="337" t="s">
        <v>503</v>
      </c>
      <c r="S44" s="337"/>
      <c r="T44" s="337" t="s">
        <v>504</v>
      </c>
      <c r="U44" s="337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</row>
    <row r="45" spans="1:32" s="218" customFormat="1" ht="18.75" customHeight="1">
      <c r="A45" s="131">
        <v>1</v>
      </c>
      <c r="B45" s="337">
        <v>2</v>
      </c>
      <c r="C45" s="337"/>
      <c r="D45" s="337">
        <v>3</v>
      </c>
      <c r="E45" s="337"/>
      <c r="F45" s="337">
        <v>4</v>
      </c>
      <c r="G45" s="337"/>
      <c r="H45" s="337">
        <v>5</v>
      </c>
      <c r="I45" s="337"/>
      <c r="J45" s="337">
        <v>6</v>
      </c>
      <c r="K45" s="337"/>
      <c r="L45" s="337">
        <v>7</v>
      </c>
      <c r="M45" s="337"/>
      <c r="N45" s="337">
        <v>8</v>
      </c>
      <c r="O45" s="337"/>
      <c r="P45" s="337">
        <v>9</v>
      </c>
      <c r="Q45" s="337"/>
      <c r="R45" s="360">
        <v>10</v>
      </c>
      <c r="S45" s="360"/>
      <c r="T45" s="337">
        <v>11</v>
      </c>
      <c r="U45" s="337"/>
      <c r="V45" s="337">
        <v>12</v>
      </c>
      <c r="W45" s="337"/>
      <c r="X45" s="337"/>
      <c r="Y45" s="337"/>
      <c r="Z45" s="337"/>
      <c r="AA45" s="337">
        <v>13</v>
      </c>
      <c r="AB45" s="337"/>
      <c r="AC45" s="337"/>
      <c r="AD45" s="337"/>
      <c r="AE45" s="337"/>
      <c r="AF45" s="337"/>
    </row>
    <row r="46" spans="1:32" s="218" customFormat="1" ht="19.5" customHeight="1">
      <c r="A46" s="220"/>
      <c r="B46" s="409"/>
      <c r="C46" s="409"/>
      <c r="D46" s="377"/>
      <c r="E46" s="377"/>
      <c r="F46" s="407"/>
      <c r="G46" s="407"/>
      <c r="H46" s="407"/>
      <c r="I46" s="407"/>
      <c r="J46" s="407"/>
      <c r="K46" s="407"/>
      <c r="L46" s="407"/>
      <c r="M46" s="407"/>
      <c r="N46" s="378">
        <f aca="true" t="shared" si="2" ref="N46:N51">SUM(P46,R46,T46)</f>
        <v>0</v>
      </c>
      <c r="O46" s="378"/>
      <c r="P46" s="407"/>
      <c r="Q46" s="407"/>
      <c r="R46" s="407"/>
      <c r="S46" s="407"/>
      <c r="T46" s="407"/>
      <c r="U46" s="407"/>
      <c r="V46" s="408"/>
      <c r="W46" s="408"/>
      <c r="X46" s="408"/>
      <c r="Y46" s="408"/>
      <c r="Z46" s="408"/>
      <c r="AA46" s="379"/>
      <c r="AB46" s="379"/>
      <c r="AC46" s="379"/>
      <c r="AD46" s="379"/>
      <c r="AE46" s="379"/>
      <c r="AF46" s="379"/>
    </row>
    <row r="47" spans="1:32" s="218" customFormat="1" ht="19.5" customHeight="1">
      <c r="A47" s="220"/>
      <c r="B47" s="409"/>
      <c r="C47" s="409"/>
      <c r="D47" s="377"/>
      <c r="E47" s="377"/>
      <c r="F47" s="407"/>
      <c r="G47" s="407"/>
      <c r="H47" s="407"/>
      <c r="I47" s="407"/>
      <c r="J47" s="407"/>
      <c r="K47" s="407"/>
      <c r="L47" s="407"/>
      <c r="M47" s="407"/>
      <c r="N47" s="378">
        <f t="shared" si="2"/>
        <v>0</v>
      </c>
      <c r="O47" s="378"/>
      <c r="P47" s="407"/>
      <c r="Q47" s="407"/>
      <c r="R47" s="407"/>
      <c r="S47" s="407"/>
      <c r="T47" s="407"/>
      <c r="U47" s="407"/>
      <c r="V47" s="408"/>
      <c r="W47" s="408"/>
      <c r="X47" s="408"/>
      <c r="Y47" s="408"/>
      <c r="Z47" s="408"/>
      <c r="AA47" s="379"/>
      <c r="AB47" s="379"/>
      <c r="AC47" s="379"/>
      <c r="AD47" s="379"/>
      <c r="AE47" s="379"/>
      <c r="AF47" s="379"/>
    </row>
    <row r="48" spans="1:32" s="218" customFormat="1" ht="19.5" customHeight="1">
      <c r="A48" s="220"/>
      <c r="B48" s="409"/>
      <c r="C48" s="409"/>
      <c r="D48" s="377"/>
      <c r="E48" s="377"/>
      <c r="F48" s="407"/>
      <c r="G48" s="407"/>
      <c r="H48" s="407"/>
      <c r="I48" s="407"/>
      <c r="J48" s="407"/>
      <c r="K48" s="407"/>
      <c r="L48" s="407"/>
      <c r="M48" s="407"/>
      <c r="N48" s="378">
        <f t="shared" si="2"/>
        <v>0</v>
      </c>
      <c r="O48" s="378"/>
      <c r="P48" s="407"/>
      <c r="Q48" s="407"/>
      <c r="R48" s="407"/>
      <c r="S48" s="407"/>
      <c r="T48" s="407"/>
      <c r="U48" s="407"/>
      <c r="V48" s="408"/>
      <c r="W48" s="408"/>
      <c r="X48" s="408"/>
      <c r="Y48" s="408"/>
      <c r="Z48" s="408"/>
      <c r="AA48" s="379"/>
      <c r="AB48" s="379"/>
      <c r="AC48" s="379"/>
      <c r="AD48" s="379"/>
      <c r="AE48" s="379"/>
      <c r="AF48" s="379"/>
    </row>
    <row r="49" spans="1:32" s="218" customFormat="1" ht="19.5" customHeight="1">
      <c r="A49" s="220"/>
      <c r="B49" s="409"/>
      <c r="C49" s="409"/>
      <c r="D49" s="377"/>
      <c r="E49" s="377"/>
      <c r="F49" s="407"/>
      <c r="G49" s="407"/>
      <c r="H49" s="407"/>
      <c r="I49" s="407"/>
      <c r="J49" s="407"/>
      <c r="K49" s="407"/>
      <c r="L49" s="407"/>
      <c r="M49" s="407"/>
      <c r="N49" s="378">
        <f t="shared" si="2"/>
        <v>0</v>
      </c>
      <c r="O49" s="378"/>
      <c r="P49" s="407"/>
      <c r="Q49" s="407"/>
      <c r="R49" s="407"/>
      <c r="S49" s="407"/>
      <c r="T49" s="407"/>
      <c r="U49" s="407"/>
      <c r="V49" s="408"/>
      <c r="W49" s="408"/>
      <c r="X49" s="408"/>
      <c r="Y49" s="408"/>
      <c r="Z49" s="408"/>
      <c r="AA49" s="379"/>
      <c r="AB49" s="379"/>
      <c r="AC49" s="379"/>
      <c r="AD49" s="379"/>
      <c r="AE49" s="379"/>
      <c r="AF49" s="379"/>
    </row>
    <row r="50" spans="1:32" s="218" customFormat="1" ht="19.5" customHeight="1">
      <c r="A50" s="220"/>
      <c r="B50" s="409"/>
      <c r="C50" s="409"/>
      <c r="D50" s="377"/>
      <c r="E50" s="377"/>
      <c r="F50" s="407"/>
      <c r="G50" s="407"/>
      <c r="H50" s="407"/>
      <c r="I50" s="407"/>
      <c r="J50" s="407"/>
      <c r="K50" s="407"/>
      <c r="L50" s="407"/>
      <c r="M50" s="407"/>
      <c r="N50" s="378">
        <f t="shared" si="2"/>
        <v>0</v>
      </c>
      <c r="O50" s="378"/>
      <c r="P50" s="407"/>
      <c r="Q50" s="407"/>
      <c r="R50" s="407"/>
      <c r="S50" s="407"/>
      <c r="T50" s="407"/>
      <c r="U50" s="407"/>
      <c r="V50" s="408"/>
      <c r="W50" s="408"/>
      <c r="X50" s="408"/>
      <c r="Y50" s="408"/>
      <c r="Z50" s="408"/>
      <c r="AA50" s="379"/>
      <c r="AB50" s="379"/>
      <c r="AC50" s="379"/>
      <c r="AD50" s="379"/>
      <c r="AE50" s="379"/>
      <c r="AF50" s="379"/>
    </row>
    <row r="51" spans="1:32" s="218" customFormat="1" ht="19.5" customHeight="1">
      <c r="A51" s="220"/>
      <c r="B51" s="409"/>
      <c r="C51" s="409"/>
      <c r="D51" s="377"/>
      <c r="E51" s="377"/>
      <c r="F51" s="407"/>
      <c r="G51" s="407"/>
      <c r="H51" s="407"/>
      <c r="I51" s="407"/>
      <c r="J51" s="407"/>
      <c r="K51" s="407"/>
      <c r="L51" s="407"/>
      <c r="M51" s="407"/>
      <c r="N51" s="378">
        <f t="shared" si="2"/>
        <v>0</v>
      </c>
      <c r="O51" s="378"/>
      <c r="P51" s="407"/>
      <c r="Q51" s="407"/>
      <c r="R51" s="407"/>
      <c r="S51" s="407"/>
      <c r="T51" s="407"/>
      <c r="U51" s="407"/>
      <c r="V51" s="408"/>
      <c r="W51" s="408"/>
      <c r="X51" s="408"/>
      <c r="Y51" s="408"/>
      <c r="Z51" s="408"/>
      <c r="AA51" s="379"/>
      <c r="AB51" s="379"/>
      <c r="AC51" s="379"/>
      <c r="AD51" s="379"/>
      <c r="AE51" s="379"/>
      <c r="AF51" s="379"/>
    </row>
    <row r="52" spans="1:32" s="218" customFormat="1" ht="24.75" customHeight="1">
      <c r="A52" s="406" t="s">
        <v>88</v>
      </c>
      <c r="B52" s="406"/>
      <c r="C52" s="406"/>
      <c r="D52" s="406"/>
      <c r="E52" s="406"/>
      <c r="F52" s="378">
        <f>SUM(F46:F51)</f>
        <v>0</v>
      </c>
      <c r="G52" s="378"/>
      <c r="H52" s="378">
        <f>SUM(H46:H51)</f>
        <v>0</v>
      </c>
      <c r="I52" s="378"/>
      <c r="J52" s="378">
        <f>SUM(J46:J51)</f>
        <v>0</v>
      </c>
      <c r="K52" s="378"/>
      <c r="L52" s="378">
        <f>SUM(L46:L51)</f>
        <v>0</v>
      </c>
      <c r="M52" s="378"/>
      <c r="N52" s="378">
        <f>SUM(N46:N51)</f>
        <v>0</v>
      </c>
      <c r="O52" s="378"/>
      <c r="P52" s="378">
        <f>SUM(P46:P51)</f>
        <v>0</v>
      </c>
      <c r="Q52" s="378"/>
      <c r="R52" s="378">
        <f>SUM(R46:R51)</f>
        <v>0</v>
      </c>
      <c r="S52" s="378"/>
      <c r="T52" s="378">
        <f>SUM(T46:T51)</f>
        <v>0</v>
      </c>
      <c r="U52" s="378"/>
      <c r="V52" s="408"/>
      <c r="W52" s="408"/>
      <c r="X52" s="408"/>
      <c r="Y52" s="408"/>
      <c r="Z52" s="408"/>
      <c r="AA52" s="379"/>
      <c r="AB52" s="379"/>
      <c r="AC52" s="379"/>
      <c r="AD52" s="379"/>
      <c r="AE52" s="379"/>
      <c r="AF52" s="37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6.5" customHeight="1"/>
  </sheetData>
  <sheetProtection selectLockedCells="1" selectUnlockedCells="1"/>
  <mergeCells count="263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A9:Q9"/>
    <mergeCell ref="R9:T9"/>
    <mergeCell ref="U9:W9"/>
    <mergeCell ref="X9:Z9"/>
    <mergeCell ref="AA9:AC9"/>
    <mergeCell ref="AD9:AF9"/>
    <mergeCell ref="A14:A16"/>
    <mergeCell ref="B14:C16"/>
    <mergeCell ref="D14:G16"/>
    <mergeCell ref="H14:O16"/>
    <mergeCell ref="P14:Q16"/>
    <mergeCell ref="R14:Z14"/>
    <mergeCell ref="AA14:AC16"/>
    <mergeCell ref="AD14:AF16"/>
    <mergeCell ref="R15:T16"/>
    <mergeCell ref="U15:W16"/>
    <mergeCell ref="X15:Z16"/>
    <mergeCell ref="B17:C17"/>
    <mergeCell ref="D17:G17"/>
    <mergeCell ref="H17:O17"/>
    <mergeCell ref="P17:Q17"/>
    <mergeCell ref="R17:T17"/>
    <mergeCell ref="U17:W17"/>
    <mergeCell ref="X17:Z17"/>
    <mergeCell ref="AA17:AC17"/>
    <mergeCell ref="AD17:AF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A22:Q22"/>
    <mergeCell ref="R22:T22"/>
    <mergeCell ref="U22:W22"/>
    <mergeCell ref="X22:Z22"/>
    <mergeCell ref="AA22:AC22"/>
    <mergeCell ref="AD22:AF22"/>
    <mergeCell ref="AD26:AF26"/>
    <mergeCell ref="AH26:AJ26"/>
    <mergeCell ref="A27:A29"/>
    <mergeCell ref="B27:L29"/>
    <mergeCell ref="M27:P27"/>
    <mergeCell ref="Q27:T27"/>
    <mergeCell ref="U27:X27"/>
    <mergeCell ref="Y27:AB27"/>
    <mergeCell ref="AC27:AF27"/>
    <mergeCell ref="AG27:AJ27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B30:L30"/>
    <mergeCell ref="B31:L31"/>
    <mergeCell ref="B32:L32"/>
    <mergeCell ref="B33:L33"/>
    <mergeCell ref="B34:L34"/>
    <mergeCell ref="B35:L35"/>
    <mergeCell ref="A36:L36"/>
    <mergeCell ref="A37:L37"/>
    <mergeCell ref="AH41:AJ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AA51:AF51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P52:Q52"/>
    <mergeCell ref="R52:S52"/>
    <mergeCell ref="T52:U52"/>
    <mergeCell ref="V52:Z52"/>
    <mergeCell ref="AA52:AF52"/>
    <mergeCell ref="A52:E52"/>
    <mergeCell ref="F52:G52"/>
    <mergeCell ref="H52:I52"/>
    <mergeCell ref="J52:K52"/>
    <mergeCell ref="L52:M52"/>
    <mergeCell ref="N52:O52"/>
  </mergeCells>
  <printOptions/>
  <pageMargins left="0.5902777777777778" right="0.39375" top="0.39375" bottom="0.39375" header="0.5118055555555555" footer="0.5118055555555555"/>
  <pageSetup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Normal="83" zoomScaleSheetLayoutView="100" zoomScalePageLayoutView="0" workbookViewId="0" topLeftCell="A37">
      <selection activeCell="E26" sqref="E26"/>
    </sheetView>
  </sheetViews>
  <sheetFormatPr defaultColWidth="11.375" defaultRowHeight="12.75"/>
  <cols>
    <col min="1" max="1" width="6.875" style="72" customWidth="1"/>
    <col min="2" max="2" width="97.625" style="72" customWidth="1"/>
    <col min="3" max="3" width="21.75390625" style="72" customWidth="1"/>
    <col min="4" max="4" width="19.75390625" style="72" customWidth="1"/>
    <col min="5" max="5" width="19.375" style="72" customWidth="1"/>
    <col min="6" max="16384" width="11.375" style="72" customWidth="1"/>
  </cols>
  <sheetData>
    <row r="1" spans="1:256" s="74" customFormat="1" ht="23.25" customHeight="1">
      <c r="A1" s="429" t="s">
        <v>505</v>
      </c>
      <c r="B1" s="429"/>
      <c r="C1" s="429"/>
      <c r="D1" s="429"/>
      <c r="E1" s="429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8" customFormat="1" ht="15.75" customHeight="1">
      <c r="A2" s="76"/>
      <c r="B2" s="77"/>
      <c r="C2" s="77"/>
      <c r="D2" s="430" t="s">
        <v>506</v>
      </c>
      <c r="E2" s="430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s="78" customFormat="1" ht="49.5">
      <c r="A3" s="89" t="s">
        <v>460</v>
      </c>
      <c r="B3" s="90" t="s">
        <v>36</v>
      </c>
      <c r="C3" s="200" t="s">
        <v>507</v>
      </c>
      <c r="D3" s="201" t="s">
        <v>508</v>
      </c>
      <c r="E3" s="202" t="s">
        <v>509</v>
      </c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s="78" customFormat="1" ht="18" customHeight="1">
      <c r="A4" s="90">
        <v>1</v>
      </c>
      <c r="B4" s="90">
        <v>2</v>
      </c>
      <c r="C4" s="91">
        <v>3</v>
      </c>
      <c r="D4" s="91">
        <v>4</v>
      </c>
      <c r="E4" s="91">
        <v>5</v>
      </c>
      <c r="G4" s="80"/>
      <c r="H4" s="80"/>
      <c r="I4" s="80"/>
      <c r="J4" s="76"/>
      <c r="K4" s="76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s="78" customFormat="1" ht="18" customHeight="1">
      <c r="A5" s="89"/>
      <c r="B5" s="92" t="s">
        <v>510</v>
      </c>
      <c r="C5" s="93"/>
      <c r="D5" s="93"/>
      <c r="E5" s="93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s="78" customFormat="1" ht="18" customHeight="1">
      <c r="A6" s="89"/>
      <c r="B6" s="94" t="s">
        <v>511</v>
      </c>
      <c r="C6" s="93"/>
      <c r="D6" s="93"/>
      <c r="E6" s="93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s="78" customFormat="1" ht="18" customHeight="1">
      <c r="A7" s="89"/>
      <c r="B7" s="94" t="s">
        <v>512</v>
      </c>
      <c r="C7" s="93"/>
      <c r="D7" s="93"/>
      <c r="E7" s="93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78" customFormat="1" ht="18" customHeight="1">
      <c r="A8" s="89"/>
      <c r="B8" s="92" t="s">
        <v>513</v>
      </c>
      <c r="C8" s="93"/>
      <c r="D8" s="93"/>
      <c r="E8" s="93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78" customFormat="1" ht="18" customHeight="1">
      <c r="A9" s="89"/>
      <c r="B9" s="94" t="s">
        <v>511</v>
      </c>
      <c r="C9" s="93"/>
      <c r="D9" s="93"/>
      <c r="E9" s="93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78" customFormat="1" ht="18" customHeight="1">
      <c r="A10" s="95"/>
      <c r="B10" s="94" t="s">
        <v>512</v>
      </c>
      <c r="C10" s="93"/>
      <c r="D10" s="93"/>
      <c r="E10" s="93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78" customFormat="1" ht="18" customHeight="1">
      <c r="A11" s="95"/>
      <c r="B11" s="92" t="s">
        <v>514</v>
      </c>
      <c r="C11" s="96">
        <f>C12</f>
        <v>50623</v>
      </c>
      <c r="D11" s="96">
        <f>D12</f>
        <v>74720</v>
      </c>
      <c r="E11" s="96">
        <f>E12</f>
        <v>28499</v>
      </c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78" customFormat="1" ht="18" customHeight="1">
      <c r="A12" s="95"/>
      <c r="B12" s="97" t="s">
        <v>511</v>
      </c>
      <c r="C12" s="96">
        <f>C13+C14+C15+C16+C17</f>
        <v>50623</v>
      </c>
      <c r="D12" s="96">
        <f>D13+D14+D16+D17</f>
        <v>74720</v>
      </c>
      <c r="E12" s="96">
        <f>E13+E14+E16+E17</f>
        <v>28499</v>
      </c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78" customFormat="1" ht="16.5">
      <c r="A13" s="95"/>
      <c r="B13" s="98" t="s">
        <v>515</v>
      </c>
      <c r="C13" s="93">
        <v>6982</v>
      </c>
      <c r="D13" s="93">
        <v>46250</v>
      </c>
      <c r="E13" s="93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8" customFormat="1" ht="33">
      <c r="A14" s="95"/>
      <c r="B14" s="98" t="s">
        <v>516</v>
      </c>
      <c r="C14" s="93">
        <v>39950</v>
      </c>
      <c r="D14" s="93">
        <v>28470</v>
      </c>
      <c r="E14" s="93">
        <v>28499</v>
      </c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8" customFormat="1" ht="33">
      <c r="A15" s="95"/>
      <c r="B15" s="98" t="s">
        <v>517</v>
      </c>
      <c r="C15" s="93">
        <v>1691</v>
      </c>
      <c r="D15" s="93"/>
      <c r="E15" s="93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8" customFormat="1" ht="31.5">
      <c r="A16" s="95"/>
      <c r="B16" s="99" t="s">
        <v>518</v>
      </c>
      <c r="C16" s="93">
        <v>2000</v>
      </c>
      <c r="D16" s="93"/>
      <c r="E16" s="93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78" customFormat="1" ht="16.5">
      <c r="A17" s="95"/>
      <c r="B17" s="99" t="s">
        <v>519</v>
      </c>
      <c r="C17" s="93"/>
      <c r="D17" s="93"/>
      <c r="E17" s="93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78" customFormat="1" ht="18" customHeight="1">
      <c r="A18" s="95"/>
      <c r="B18" s="97" t="s">
        <v>512</v>
      </c>
      <c r="C18" s="96">
        <f>C19+C20+C21+C22+C23+C24+C25+C26+C27+C28</f>
        <v>50623</v>
      </c>
      <c r="D18" s="96">
        <f>D19+D20+D21+D22+D23+D24+D25+D26+D27+D28</f>
        <v>74720</v>
      </c>
      <c r="E18" s="96">
        <f>E19+E20+E21+E22+E23+E24+E25+E26+E27+E28</f>
        <v>28499</v>
      </c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78" customFormat="1" ht="16.5">
      <c r="A19" s="95"/>
      <c r="B19" s="98" t="s">
        <v>520</v>
      </c>
      <c r="C19" s="93">
        <v>1691</v>
      </c>
      <c r="D19" s="93"/>
      <c r="E19" s="93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8" customFormat="1" ht="18" customHeight="1">
      <c r="A20" s="95"/>
      <c r="B20" s="98" t="s">
        <v>521</v>
      </c>
      <c r="C20" s="93"/>
      <c r="D20" s="93"/>
      <c r="E20" s="93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8" customFormat="1" ht="18" customHeight="1">
      <c r="A21" s="95"/>
      <c r="B21" s="98" t="s">
        <v>522</v>
      </c>
      <c r="C21" s="93"/>
      <c r="D21" s="93"/>
      <c r="E21" s="93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78" customFormat="1" ht="18" customHeight="1">
      <c r="A22" s="95"/>
      <c r="B22" s="98" t="s">
        <v>523</v>
      </c>
      <c r="C22" s="93">
        <v>3000</v>
      </c>
      <c r="D22" s="93">
        <v>3000</v>
      </c>
      <c r="E22" s="93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78" customFormat="1" ht="18" customHeight="1">
      <c r="A23" s="95"/>
      <c r="B23" s="98" t="s">
        <v>524</v>
      </c>
      <c r="C23" s="93">
        <v>35800</v>
      </c>
      <c r="D23" s="93">
        <v>25100</v>
      </c>
      <c r="E23" s="93">
        <v>19398</v>
      </c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s="78" customFormat="1" ht="18" customHeight="1">
      <c r="A24" s="95"/>
      <c r="B24" s="89" t="s">
        <v>525</v>
      </c>
      <c r="C24" s="93">
        <v>150</v>
      </c>
      <c r="D24" s="93">
        <v>370</v>
      </c>
      <c r="E24" s="93">
        <v>149</v>
      </c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5" s="81" customFormat="1" ht="16.5">
      <c r="A25" s="100"/>
      <c r="B25" s="98" t="s">
        <v>526</v>
      </c>
      <c r="C25" s="100"/>
      <c r="D25" s="100"/>
      <c r="E25" s="100"/>
    </row>
    <row r="26" spans="1:256" s="78" customFormat="1" ht="16.5">
      <c r="A26" s="95"/>
      <c r="B26" s="101" t="s">
        <v>527</v>
      </c>
      <c r="C26" s="93">
        <v>2000</v>
      </c>
      <c r="D26" s="93"/>
      <c r="E26" s="93">
        <v>8952</v>
      </c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s="78" customFormat="1" ht="33">
      <c r="A27" s="95"/>
      <c r="B27" s="98" t="s">
        <v>528</v>
      </c>
      <c r="C27" s="93">
        <v>1000</v>
      </c>
      <c r="D27" s="93"/>
      <c r="E27" s="93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s="78" customFormat="1" ht="18.75" customHeight="1">
      <c r="A28" s="95"/>
      <c r="B28" s="98" t="s">
        <v>529</v>
      </c>
      <c r="C28" s="93">
        <v>6982</v>
      </c>
      <c r="D28" s="93">
        <v>46250</v>
      </c>
      <c r="E28" s="93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2:256" s="74" customFormat="1" ht="19.5" customHeight="1">
      <c r="B29" s="82"/>
      <c r="C29" s="83"/>
      <c r="D29" s="83"/>
      <c r="E29" s="83"/>
      <c r="F29" s="84"/>
      <c r="G29" s="84"/>
      <c r="H29" s="84"/>
      <c r="I29" s="84"/>
      <c r="J29" s="84"/>
      <c r="K29" s="84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2:256" s="74" customFormat="1" ht="14.25" customHeight="1">
      <c r="B30" s="82"/>
      <c r="C30" s="83"/>
      <c r="D30" s="83"/>
      <c r="E30" s="83"/>
      <c r="F30" s="84"/>
      <c r="G30" s="84"/>
      <c r="H30" s="84"/>
      <c r="I30" s="84"/>
      <c r="J30" s="84"/>
      <c r="K30" s="84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s="74" customFormat="1" ht="18.75" customHeight="1">
      <c r="A31" s="85"/>
      <c r="B31" s="30" t="s">
        <v>530</v>
      </c>
      <c r="C31" s="86" t="s">
        <v>531</v>
      </c>
      <c r="D31" s="431" t="s">
        <v>196</v>
      </c>
      <c r="E31" s="431"/>
      <c r="F31" s="84"/>
      <c r="G31" s="84"/>
      <c r="H31" s="84"/>
      <c r="I31" s="84"/>
      <c r="J31" s="84"/>
      <c r="K31" s="84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2:256" s="85" customFormat="1" ht="18.75" customHeight="1">
      <c r="B32" s="73" t="s">
        <v>532</v>
      </c>
      <c r="C32" s="87" t="s">
        <v>198</v>
      </c>
      <c r="D32" s="432" t="s">
        <v>270</v>
      </c>
      <c r="E32" s="432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</sheetData>
  <sheetProtection selectLockedCells="1" selectUnlockedCells="1"/>
  <mergeCells count="4">
    <mergeCell ref="A1:E1"/>
    <mergeCell ref="D2:E2"/>
    <mergeCell ref="D31:E31"/>
    <mergeCell ref="D32:E32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 Оксана Михайлівна</dc:creator>
  <cp:keywords/>
  <dc:description/>
  <cp:lastModifiedBy>Ситник Оксана Михайлівна</cp:lastModifiedBy>
  <cp:lastPrinted>2022-11-17T11:32:20Z</cp:lastPrinted>
  <dcterms:created xsi:type="dcterms:W3CDTF">2022-11-11T10:54:05Z</dcterms:created>
  <dcterms:modified xsi:type="dcterms:W3CDTF">2023-04-07T12:44:52Z</dcterms:modified>
  <cp:category/>
  <cp:version/>
  <cp:contentType/>
  <cp:contentStatus/>
</cp:coreProperties>
</file>